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autoCompressPictures="0"/>
  <mc:AlternateContent xmlns:mc="http://schemas.openxmlformats.org/markup-compatibility/2006">
    <mc:Choice Requires="x15">
      <x15ac:absPath xmlns:x15ac="http://schemas.microsoft.com/office/spreadsheetml/2010/11/ac" url="C:\Users\Martin Perry\Documents\Harwin Stuff\Cobalt\"/>
    </mc:Choice>
  </mc:AlternateContent>
  <xr:revisionPtr revIDLastSave="0" documentId="13_ncr:1_{29D1113E-E6B5-441A-A8F6-552EE19E2E7D}" xr6:coauthVersionLast="45" xr6:coauthVersionMax="45" xr10:uidLastSave="{00000000-0000-0000-0000-000000000000}"/>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s="1"/>
  <c r="C2"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H54" i="6" s="1"/>
  <c r="D54" i="6" s="1"/>
  <c r="G53" i="6"/>
  <c r="B51" i="6"/>
  <c r="G51" i="6" s="1"/>
  <c r="H51" i="6" s="1"/>
  <c r="D51" i="6" s="1"/>
  <c r="B50" i="6"/>
  <c r="G50" i="6" s="1"/>
  <c r="B49" i="6"/>
  <c r="G49" i="6" s="1"/>
  <c r="B48" i="6"/>
  <c r="G48" i="6" s="1"/>
  <c r="H48" i="6" s="1"/>
  <c r="D48" i="6" s="1"/>
  <c r="B47" i="6"/>
  <c r="G47" i="6"/>
  <c r="B46" i="6"/>
  <c r="G46" i="6"/>
  <c r="B45" i="6"/>
  <c r="G45" i="6" s="1"/>
  <c r="H45" i="6" s="1"/>
  <c r="D45" i="6" s="1"/>
  <c r="B43" i="6"/>
  <c r="G43" i="6"/>
  <c r="B42" i="6"/>
  <c r="G42" i="6"/>
  <c r="B41" i="6"/>
  <c r="G41" i="6"/>
  <c r="B40" i="6"/>
  <c r="G40" i="6"/>
  <c r="B38" i="6"/>
  <c r="G38" i="6"/>
  <c r="B37" i="6"/>
  <c r="G37" i="6"/>
  <c r="B36" i="6"/>
  <c r="G36" i="6"/>
  <c r="B35" i="6"/>
  <c r="G35" i="6" s="1"/>
  <c r="B33" i="6"/>
  <c r="G33" i="6"/>
  <c r="B32" i="6"/>
  <c r="G32" i="6"/>
  <c r="B31" i="6"/>
  <c r="G31" i="6"/>
  <c r="B30" i="6"/>
  <c r="G30" i="6" s="1"/>
  <c r="H30" i="6" s="1"/>
  <c r="D30" i="6" s="1"/>
  <c r="B28" i="6"/>
  <c r="G28" i="6"/>
  <c r="B27" i="6"/>
  <c r="G27" i="6"/>
  <c r="B26" i="6"/>
  <c r="G26" i="6"/>
  <c r="B25" i="6"/>
  <c r="G25" i="6"/>
  <c r="B23" i="6"/>
  <c r="G23" i="6"/>
  <c r="B18" i="6"/>
  <c r="F23" i="6"/>
  <c r="H23" i="6"/>
  <c r="B22" i="6"/>
  <c r="G22" i="6"/>
  <c r="B21" i="6"/>
  <c r="G21" i="6"/>
  <c r="B20" i="6"/>
  <c r="G20" i="6"/>
  <c r="B17" i="6"/>
  <c r="B16" i="6"/>
  <c r="G16" i="6"/>
  <c r="H16" i="6"/>
  <c r="B15" i="6"/>
  <c r="F20" i="6"/>
  <c r="H14" i="6"/>
  <c r="B13" i="6"/>
  <c r="G13" i="6" s="1"/>
  <c r="H13" i="6" s="1"/>
  <c r="D13" i="6" s="1"/>
  <c r="B12" i="6"/>
  <c r="G12" i="6"/>
  <c r="H12" i="6" s="1"/>
  <c r="D12" i="6" s="1"/>
  <c r="B11" i="6"/>
  <c r="G11" i="6"/>
  <c r="H11" i="6" s="1"/>
  <c r="D11" i="6" s="1"/>
  <c r="B10" i="6"/>
  <c r="G10" i="6" s="1"/>
  <c r="H10" i="6" s="1"/>
  <c r="D10" i="6" s="1"/>
  <c r="B9" i="6"/>
  <c r="G9" i="6" s="1"/>
  <c r="H9" i="6" s="1"/>
  <c r="D9" i="6" s="1"/>
  <c r="B8" i="6"/>
  <c r="G8" i="6"/>
  <c r="H8" i="6" s="1"/>
  <c r="D8" i="6" s="1"/>
  <c r="B7" i="6"/>
  <c r="G7" i="6"/>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G6" i="6"/>
  <c r="H6" i="6"/>
  <c r="B32" i="4"/>
  <c r="B50" i="4" s="1"/>
  <c r="A35" i="6" s="1"/>
  <c r="B77" i="4"/>
  <c r="A54" i="6" s="1"/>
  <c r="B69" i="4"/>
  <c r="A49" i="6" s="1"/>
  <c r="B73" i="4"/>
  <c r="A51" i="6" s="1"/>
  <c r="B65" i="4"/>
  <c r="A47" i="6" s="1"/>
  <c r="F25" i="6"/>
  <c r="H25" i="6"/>
  <c r="D25" i="6" s="1"/>
  <c r="F35" i="6"/>
  <c r="H20" i="6"/>
  <c r="D20" i="6"/>
  <c r="F40" i="6"/>
  <c r="H40" i="6"/>
  <c r="D40" i="6" s="1"/>
  <c r="F45" i="6"/>
  <c r="F30" i="6"/>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6" i="6"/>
  <c r="F46" i="6"/>
  <c r="H46" i="6" s="1"/>
  <c r="D46" i="6" s="1"/>
  <c r="F59" i="6"/>
  <c r="F48" i="6"/>
  <c r="F51" i="6"/>
  <c r="F60" i="6"/>
  <c r="F47" i="6"/>
  <c r="H47" i="6"/>
  <c r="D47" i="6" s="1"/>
  <c r="F54" i="6"/>
  <c r="F58" i="6"/>
  <c r="F49" i="6"/>
  <c r="F53" i="6"/>
  <c r="H53" i="6" s="1"/>
  <c r="D53" i="6" s="1"/>
  <c r="F55" i="6"/>
  <c r="F50" i="6"/>
  <c r="F57" i="6"/>
  <c r="B2" i="6" s="1"/>
  <c r="S42" i="5"/>
  <c r="H754" i="5"/>
  <c r="R1426" i="5"/>
  <c r="R186" i="5"/>
  <c r="R666" i="5"/>
  <c r="H1314" i="5"/>
  <c r="I714" i="5"/>
  <c r="R1666" i="5"/>
  <c r="G1674" i="5"/>
  <c r="E2458" i="5"/>
  <c r="X2458" i="5" s="1"/>
  <c r="S34" i="5"/>
  <c r="S18" i="5"/>
  <c r="S10" i="5"/>
  <c r="H55" i="6" l="1"/>
  <c r="D55" i="6" s="1"/>
  <c r="H50" i="6"/>
  <c r="D50" i="6" s="1"/>
  <c r="H49" i="6"/>
  <c r="D49" i="6" s="1"/>
  <c r="H35" i="6"/>
  <c r="D35" i="6" s="1"/>
  <c r="C30" i="6"/>
  <c r="K57" i="6"/>
  <c r="D15" i="6"/>
  <c r="C15" i="6"/>
  <c r="C45" i="6"/>
  <c r="C35" i="6"/>
  <c r="C49" i="6"/>
  <c r="C20" i="6"/>
  <c r="C53" i="6"/>
  <c r="C55" i="6"/>
  <c r="C40" i="6"/>
  <c r="C25" i="6"/>
  <c r="C57" i="6"/>
  <c r="C51" i="6"/>
  <c r="C54" i="6"/>
  <c r="C46" i="6"/>
  <c r="C50" i="6"/>
  <c r="C47" i="6"/>
  <c r="C48" i="6"/>
  <c r="C13" i="6"/>
  <c r="C12" i="6"/>
  <c r="C11" i="6"/>
  <c r="C10" i="6"/>
  <c r="C9" i="6"/>
  <c r="C8" i="6"/>
  <c r="C7" i="6"/>
  <c r="C6" i="6"/>
  <c r="C5"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J1254" i="5" l="1"/>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X6" i="5" l="1"/>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<sst xmlns="http://schemas.openxmlformats.org/spreadsheetml/2006/main" count="17030" uniqueCount="14050">
  <si>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</si>
  <si>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</si>
  <si>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</si>
  <si>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</si>
  <si>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</si>
  <si>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</si>
  <si>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</si>
  <si>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</si>
  <si>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</si>
  <si>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</si>
  <si>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</si>
  <si>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</si>
  <si>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</si>
  <si>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</si>
  <si>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</si>
  <si>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</si>
  <si>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</si>
  <si>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</si>
  <si>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</si>
  <si>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</si>
  <si>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</si>
  <si>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</si>
  <si>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</si>
  <si>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</si>
  <si>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</si>
  <si>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</si>
  <si>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</si>
  <si>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</si>
  <si>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</si>
  <si>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</si>
  <si>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</si>
  <si>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</si>
  <si>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</si>
  <si>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</si>
  <si>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</si>
  <si>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</si>
  <si>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</si>
  <si>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</si>
  <si>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</si>
  <si>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</si>
  <si>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</si>
  <si>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</si>
  <si>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</si>
  <si>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</si>
  <si>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</si>
  <si>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</si>
  <si>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</si>
  <si>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</si>
  <si>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</si>
  <si>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</si>
  <si>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</si>
  <si>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</si>
  <si>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</si>
  <si>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</si>
  <si>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</si>
  <si>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</si>
  <si>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</si>
  <si>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</si>
  <si>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</si>
  <si>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</si>
  <si>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</si>
  <si>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</si>
  <si>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</si>
  <si>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</si>
  <si>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</si>
  <si>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</si>
  <si>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</si>
  <si>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</si>
  <si>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</si>
  <si>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</si>
  <si>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</si>
  <si>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</si>
  <si>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</si>
  <si>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</si>
  <si>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</si>
  <si>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</si>
  <si>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</si>
  <si>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</si>
  <si>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</si>
  <si>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</si>
  <si>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</si>
  <si>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</si>
  <si>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</si>
  <si>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</si>
  <si>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</si>
  <si>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</si>
  <si>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</si>
  <si>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</si>
  <si>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</si>
  <si>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</si>
  <si>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</si>
  <si>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</si>
  <si>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</si>
  <si>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</si>
  <si>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</si>
  <si>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</si>
  <si>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</si>
  <si>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</si>
  <si>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</si>
  <si>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</si>
  <si>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</si>
  <si>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</si>
  <si>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</si>
  <si>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</si>
  <si>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</si>
  <si>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</si>
  <si>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</si>
  <si>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</si>
  <si>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</si>
  <si>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</si>
  <si>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</si>
  <si>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</si>
  <si>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</si>
  <si>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</si>
  <si>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</si>
  <si>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</si>
  <si>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</si>
  <si>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</si>
  <si>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</si>
  <si>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</si>
  <si>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</si>
  <si>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</si>
  <si>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</si>
  <si>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</si>
  <si>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</si>
  <si>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</si>
  <si>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</si>
  <si>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</si>
  <si>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</si>
  <si>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</si>
  <si>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</si>
  <si>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</si>
  <si>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</si>
  <si>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</si>
  <si>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</si>
  <si>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</si>
  <si>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</si>
  <si>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</si>
  <si>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</si>
  <si>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</si>
  <si>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</si>
  <si>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</si>
  <si>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</si>
  <si>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</si>
  <si>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</si>
  <si>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</si>
  <si>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</si>
  <si>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</si>
  <si>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</si>
  <si>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</si>
  <si>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</si>
  <si>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</si>
  <si>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</si>
  <si>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</si>
  <si>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</si>
  <si>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</si>
  <si>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</si>
  <si>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</si>
  <si>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</si>
  <si>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</si>
  <si>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</si>
  <si>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</si>
  <si>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</si>
  <si>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</si>
  <si>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</si>
  <si>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</si>
  <si>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</si>
  <si>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</si>
  <si>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</si>
  <si>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</si>
  <si>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</si>
  <si>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</si>
  <si>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</si>
  <si>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</si>
  <si>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</si>
  <si>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</si>
  <si>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</si>
  <si>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</si>
  <si>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</si>
  <si>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</si>
  <si>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</si>
  <si>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</si>
  <si>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</si>
  <si>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</si>
  <si>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</si>
  <si>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</si>
  <si>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</si>
  <si>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</si>
  <si>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</si>
  <si>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</si>
  <si>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</si>
  <si>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</si>
  <si>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</si>
  <si>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</si>
  <si>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</si>
  <si>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</si>
  <si>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</si>
  <si>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</si>
  <si>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</si>
  <si>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</si>
  <si>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</si>
  <si>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</si>
  <si>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</si>
  <si>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</si>
  <si>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</si>
  <si>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</si>
  <si>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</si>
  <si>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</si>
  <si>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</si>
  <si>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</si>
  <si>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</si>
  <si>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</si>
  <si>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</si>
  <si>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</si>
  <si>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</si>
  <si>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</si>
  <si>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</si>
  <si>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</si>
  <si>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</si>
  <si>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</si>
  <si>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</si>
  <si>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</si>
  <si>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</si>
  <si>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</si>
  <si>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</si>
  <si>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</si>
  <si>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</si>
  <si>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</si>
  <si>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</si>
  <si>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</si>
  <si>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</si>
  <si>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</si>
  <si>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</si>
  <si>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</si>
  <si>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</si>
  <si>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</si>
  <si>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</si>
  <si>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</si>
  <si>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</si>
  <si>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</si>
  <si>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</si>
  <si>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</si>
  <si>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</si>
  <si>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</si>
  <si>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</si>
  <si>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</si>
  <si>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</si>
  <si>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</si>
  <si>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</si>
  <si>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</si>
  <si>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</si>
  <si>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</si>
  <si>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</si>
  <si>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</si>
  <si>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</si>
  <si>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</si>
  <si>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</si>
  <si>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</si>
  <si>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</si>
  <si>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</si>
  <si>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</si>
  <si>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</si>
  <si>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</si>
  <si>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</si>
  <si>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</si>
  <si>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</si>
  <si>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</si>
  <si>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</si>
  <si>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</si>
  <si>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</si>
  <si>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</si>
  <si>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</si>
  <si>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</si>
  <si>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</si>
  <si>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</si>
  <si>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</si>
  <si>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</si>
  <si>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</si>
  <si>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</si>
  <si>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</si>
  <si>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</si>
  <si>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</si>
  <si>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</si>
  <si>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</si>
  <si>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</si>
  <si>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</si>
  <si>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</si>
  <si>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</si>
  <si>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</si>
  <si>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</si>
  <si>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</si>
  <si>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</si>
  <si>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</si>
  <si>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</si>
  <si>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</si>
  <si>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</si>
  <si>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</si>
  <si>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</si>
  <si>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</si>
  <si>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</si>
  <si>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</si>
  <si>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</si>
  <si>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</si>
  <si>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</si>
  <si>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</si>
  <si>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</si>
  <si>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</si>
  <si>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</si>
  <si>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</si>
  <si>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</si>
  <si>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</si>
  <si>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</si>
  <si>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</si>
  <si>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</si>
  <si>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</si>
  <si>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</si>
  <si>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</si>
  <si>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</si>
  <si>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</si>
  <si>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</si>
  <si>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</si>
  <si>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</si>
  <si>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</si>
  <si>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</si>
  <si>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</si>
  <si>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</si>
  <si>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</si>
  <si>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</si>
  <si>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</si>
  <si>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</si>
  <si>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</si>
  <si>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</si>
  <si>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</si>
  <si>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</si>
  <si>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</si>
  <si>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</si>
  <si>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</si>
  <si>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</si>
  <si>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</si>
  <si>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</si>
  <si>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</si>
  <si>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</si>
  <si>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</si>
  <si>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</si>
  <si>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</si>
  <si>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</si>
  <si>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</si>
  <si>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</si>
  <si>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</si>
  <si>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</si>
  <si>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</si>
  <si>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</si>
  <si>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</si>
  <si>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</si>
  <si>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</si>
  <si>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</si>
  <si>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</si>
  <si>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</si>
  <si>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</si>
  <si>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</si>
  <si>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</si>
  <si>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</si>
  <si>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</si>
  <si>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</si>
  <si>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</si>
  <si>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</si>
  <si>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</si>
  <si>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</si>
  <si>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</si>
  <si>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</si>
  <si>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</si>
  <si>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</si>
  <si>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</si>
  <si>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</si>
  <si>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</si>
  <si>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</si>
  <si>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</si>
  <si>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</si>
  <si>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</si>
  <si>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</si>
  <si>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</si>
  <si>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</si>
  <si>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</si>
  <si>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</si>
  <si>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</si>
  <si>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</si>
  <si>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</si>
  <si>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</si>
  <si>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</si>
  <si>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</si>
  <si>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</si>
  <si>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</si>
  <si>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</si>
  <si>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</si>
  <si>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</si>
  <si>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</si>
  <si>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</si>
  <si>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</si>
  <si>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</si>
  <si>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</si>
  <si>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</si>
  <si>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</si>
  <si>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</si>
  <si>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</si>
  <si>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</si>
  <si>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</si>
  <si>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</si>
  <si>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</si>
  <si>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</si>
  <si>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</si>
  <si>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</si>
  <si>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</si>
  <si>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</si>
  <si>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</si>
  <si>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</si>
  <si>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</si>
  <si>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</si>
  <si>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</si>
  <si>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</si>
  <si>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</si>
  <si>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</si>
  <si>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</si>
  <si>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</si>
  <si>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</si>
  <si>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</si>
  <si>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</si>
  <si>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</si>
  <si>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</si>
  <si>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</si>
  <si>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</si>
  <si>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</si>
  <si>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</si>
  <si>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</si>
  <si>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</si>
  <si>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</si>
  <si>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</si>
  <si>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</si>
  <si>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</si>
  <si>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</si>
  <si>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</si>
  <si>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</si>
  <si>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</si>
  <si>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</si>
  <si>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</si>
  <si>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</si>
  <si>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</si>
  <si>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</si>
  <si>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</si>
  <si>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</si>
  <si>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</si>
  <si>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</si>
  <si>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</si>
  <si>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</si>
  <si>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</si>
  <si>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</si>
  <si>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</si>
  <si>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</si>
  <si>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</si>
  <si>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</si>
  <si>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</si>
  <si>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</si>
  <si>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</si>
  <si>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</si>
  <si>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</si>
  <si>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</si>
  <si>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</si>
  <si>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</si>
  <si>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</si>
  <si>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</si>
  <si>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</si>
  <si>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</si>
  <si>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</si>
  <si>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</si>
  <si>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</si>
  <si>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</si>
  <si>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</si>
  <si>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</si>
  <si>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</si>
  <si>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</si>
  <si>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</si>
  <si>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</si>
  <si>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</si>
  <si>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</si>
  <si>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</si>
  <si>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</si>
  <si>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</si>
  <si>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</si>
  <si>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</si>
  <si>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</si>
  <si>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</si>
  <si>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</si>
  <si>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</si>
  <si>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</si>
  <si>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</si>
  <si>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</si>
  <si>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</si>
  <si>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</si>
  <si>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</si>
  <si>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</si>
  <si>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</si>
  <si>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</si>
  <si>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</si>
  <si>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</si>
  <si>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</si>
  <si>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</si>
  <si>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</si>
  <si>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</si>
  <si>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</si>
  <si>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</si>
  <si>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</si>
  <si>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</si>
  <si>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</si>
  <si>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</si>
  <si>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</si>
  <si>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</si>
  <si>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</si>
  <si>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</si>
  <si>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</si>
  <si>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</si>
  <si>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</si>
  <si>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</si>
  <si>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</si>
  <si>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</si>
  <si>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</si>
  <si>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</si>
  <si>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</si>
  <si>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</si>
  <si>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</si>
  <si>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</si>
  <si>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</si>
  <si>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</si>
  <si>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</si>
  <si>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</si>
  <si>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</si>
  <si>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</si>
  <si>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</si>
  <si>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</si>
  <si>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</si>
  <si>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</si>
  <si>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</si>
  <si>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</si>
  <si>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</si>
  <si>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</si>
  <si>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</si>
  <si>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</si>
  <si>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</si>
  <si>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</si>
  <si>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</si>
  <si>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</si>
  <si>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</si>
  <si>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</si>
  <si>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</si>
  <si>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</si>
  <si>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</si>
  <si>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</si>
  <si>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</si>
  <si>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</si>
  <si>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</si>
  <si>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</si>
  <si>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</si>
  <si>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</si>
  <si>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</si>
  <si>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</si>
  <si>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</si>
  <si>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</si>
  <si>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</si>
  <si>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</si>
  <si>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</si>
  <si>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</si>
  <si>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</si>
  <si>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</si>
  <si>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</si>
  <si>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</si>
  <si>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</si>
  <si>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</si>
  <si>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</si>
  <si>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</si>
  <si>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</si>
  <si>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</si>
  <si>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</si>
  <si>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</si>
  <si>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</si>
  <si>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</si>
  <si>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</si>
  <si>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</si>
  <si>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</si>
  <si>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</si>
  <si>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</si>
  <si>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</si>
  <si>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</si>
  <si>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</si>
  <si>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</si>
  <si>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</si>
  <si>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</si>
  <si>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</si>
  <si>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</si>
  <si>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</si>
  <si>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</si>
  <si>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</si>
  <si>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</si>
  <si>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</si>
  <si>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</si>
  <si>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</si>
  <si>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</si>
  <si>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</si>
  <si>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</si>
  <si>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</si>
  <si>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</si>
  <si>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</si>
  <si>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</si>
  <si>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</si>
  <si>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</si>
  <si>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</si>
  <si>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</si>
  <si>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</si>
  <si>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</si>
  <si>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</si>
  <si>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</si>
  <si>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</si>
  <si>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</si>
  <si>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</si>
  <si>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</si>
  <si>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</si>
  <si>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</si>
  <si>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</si>
  <si>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</si>
  <si>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</si>
  <si>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</si>
  <si>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</si>
  <si>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</si>
  <si>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</si>
  <si>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</si>
  <si>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</si>
  <si>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</si>
  <si>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</si>
  <si>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</si>
  <si>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</si>
  <si>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</si>
  <si>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</si>
  <si>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</si>
  <si>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</si>
  <si>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</si>
  <si>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</si>
  <si>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</si>
  <si>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</si>
  <si>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</si>
  <si>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</si>
  <si>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</si>
  <si>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</si>
  <si>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</si>
  <si>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</si>
  <si>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</si>
  <si>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</si>
  <si>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</si>
  <si>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</si>
  <si>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</si>
  <si>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</si>
  <si>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</si>
  <si>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</si>
  <si>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</si>
  <si>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</si>
  <si>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</si>
  <si>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</si>
  <si>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</si>
  <si>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</si>
  <si>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</si>
  <si>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</si>
  <si>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</si>
  <si>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</si>
  <si>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</si>
  <si>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</si>
  <si>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</si>
  <si>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</si>
  <si>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</si>
  <si>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</si>
  <si>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</si>
  <si>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</si>
  <si>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</si>
  <si>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</si>
  <si>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</si>
  <si>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</si>
  <si>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</si>
  <si>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</si>
  <si>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</si>
  <si>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</si>
  <si>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</si>
  <si>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</si>
  <si>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</si>
  <si>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</si>
  <si>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</si>
  <si>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</si>
  <si>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</si>
  <si>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</si>
  <si>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</si>
  <si>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</si>
  <si>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</si>
  <si>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</si>
  <si>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</si>
  <si>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</si>
  <si>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</si>
  <si>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</si>
  <si>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</si>
  <si>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</si>
  <si>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</si>
  <si>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</si>
  <si>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</si>
  <si>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</si>
  <si>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</si>
  <si>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</si>
  <si>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</si>
  <si>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</si>
  <si>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</si>
  <si>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</si>
  <si>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</si>
  <si>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</si>
  <si>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</si>
  <si>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</si>
  <si>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</si>
  <si>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</si>
  <si>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</si>
  <si>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</si>
  <si>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</si>
  <si>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</si>
  <si>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</si>
  <si>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</si>
  <si>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</si>
  <si>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</si>
  <si>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</si>
  <si>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</si>
  <si>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</si>
  <si>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</si>
  <si>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</si>
  <si>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</si>
  <si>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</si>
  <si>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</si>
  <si>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</si>
  <si>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</si>
  <si>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</si>
  <si>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</si>
  <si>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</si>
  <si>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</si>
  <si>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</si>
  <si>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</si>
  <si>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</si>
  <si>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</si>
  <si>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</si>
  <si>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</si>
  <si>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</si>
  <si>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</si>
  <si>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</si>
  <si>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</si>
  <si>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</si>
  <si>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</si>
  <si>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</si>
  <si>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</si>
  <si>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</si>
  <si>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</si>
  <si>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</si>
  <si>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</si>
  <si>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</si>
  <si>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</si>
  <si>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</si>
  <si>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</si>
  <si>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</si>
  <si>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</si>
  <si>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</si>
  <si>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</si>
  <si>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</si>
  <si>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</si>
  <si>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</si>
  <si>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</si>
  <si>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</si>
  <si>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</si>
  <si>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</si>
  <si>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</si>
  <si>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</si>
  <si>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</si>
  <si>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</si>
  <si>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</si>
  <si>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</si>
  <si>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</si>
  <si>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</si>
  <si>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</si>
  <si>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</si>
  <si>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</si>
  <si>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</si>
  <si>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</si>
  <si>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</si>
  <si>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</si>
  <si>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</si>
  <si>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</si>
  <si>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</si>
  <si>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</si>
  <si>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</si>
  <si>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</si>
  <si>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</si>
  <si>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</si>
  <si>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</si>
  <si>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</si>
  <si>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</si>
  <si>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</si>
  <si>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</si>
  <si>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</si>
  <si>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</si>
  <si>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</si>
  <si>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</si>
  <si>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</si>
  <si>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</si>
  <si>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</si>
  <si>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</si>
  <si>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</si>
  <si>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</si>
  <si>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</si>
  <si>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</si>
  <si>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</si>
  <si>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</si>
  <si>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</si>
  <si>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</si>
  <si>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</si>
  <si>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</si>
  <si>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</si>
  <si>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</si>
  <si>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</si>
  <si>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</si>
  <si>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</si>
  <si>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</si>
  <si>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</si>
  <si>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</si>
  <si>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</si>
  <si>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</si>
  <si>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</si>
  <si>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</si>
  <si>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</si>
  <si>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</si>
  <si>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</si>
  <si>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</si>
  <si>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</si>
  <si>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</si>
  <si>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</si>
  <si>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</si>
  <si>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</si>
  <si>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</si>
  <si>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</si>
  <si>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</si>
  <si>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</si>
  <si>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</si>
  <si>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</si>
  <si>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</si>
  <si>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</si>
  <si>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</si>
  <si>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</si>
  <si>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</si>
  <si>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</si>
  <si>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</si>
  <si>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</si>
  <si>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</si>
  <si>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</si>
  <si>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</si>
  <si>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</si>
  <si>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</si>
  <si>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</si>
  <si>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</si>
  <si>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</si>
  <si>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</si>
  <si>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</si>
  <si>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</si>
  <si>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</si>
  <si>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</si>
  <si>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</si>
  <si>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</si>
  <si>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</si>
  <si>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</si>
  <si>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</si>
  <si>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</si>
  <si>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</si>
  <si>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</si>
  <si>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</si>
  <si>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</si>
  <si>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</si>
  <si>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</si>
  <si>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</si>
  <si>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</si>
  <si>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</si>
  <si>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</si>
  <si>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</si>
  <si>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</si>
  <si>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</si>
  <si>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</si>
  <si>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</si>
  <si>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</si>
  <si>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</si>
  <si>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</si>
  <si>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</si>
  <si>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</si>
  <si>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</si>
  <si>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</si>
  <si>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</si>
  <si>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</si>
  <si>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</si>
  <si>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</si>
  <si>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</si>
  <si>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</si>
  <si>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</si>
  <si>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</si>
  <si>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</si>
  <si>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</si>
  <si>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</si>
  <si>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</si>
  <si>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</si>
  <si>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</si>
  <si>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</si>
  <si>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</si>
  <si>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</si>
  <si>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</si>
  <si>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</si>
  <si>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</si>
  <si>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</si>
  <si>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</si>
  <si>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</si>
  <si>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</si>
  <si>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</si>
  <si>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</si>
  <si>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</si>
  <si>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</si>
  <si>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</si>
  <si>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</si>
  <si>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</si>
  <si>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</si>
  <si>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</si>
  <si>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</si>
  <si>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</si>
  <si>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</si>
  <si>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</si>
  <si>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</si>
  <si>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</si>
  <si>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</si>
  <si>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</si>
  <si>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</si>
  <si>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</si>
  <si>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</si>
  <si>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</si>
  <si>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</si>
  <si>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</si>
  <si>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</si>
  <si>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</si>
  <si>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</si>
  <si>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</si>
  <si>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</si>
  <si>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</si>
  <si>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</si>
  <si>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</si>
  <si>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</si>
  <si>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</si>
  <si>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</si>
  <si>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</si>
  <si>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</si>
  <si>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</si>
  <si>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</si>
  <si>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</si>
  <si>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</si>
  <si>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</si>
  <si>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</si>
  <si>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</si>
  <si>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</si>
  <si>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</si>
  <si>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</si>
  <si>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</si>
  <si>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</si>
  <si>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</si>
  <si>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</si>
  <si>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</si>
  <si>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</si>
  <si>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</si>
  <si>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</si>
  <si>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</si>
  <si>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</si>
  <si>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</si>
  <si>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</si>
  <si>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</si>
  <si>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</si>
  <si>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</si>
  <si>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</si>
  <si>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</si>
  <si>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</si>
  <si>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</si>
  <si>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</si>
  <si>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</si>
  <si>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</si>
  <si>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</si>
  <si>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</si>
  <si>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</si>
  <si>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</si>
  <si>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</si>
  <si>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</si>
  <si>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</si>
  <si>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</si>
  <si>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</si>
  <si>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</si>
  <si>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</si>
  <si>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</si>
  <si>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</si>
  <si>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</si>
  <si>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</si>
  <si>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</si>
  <si>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</si>
  <si>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</si>
  <si>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</si>
  <si>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</si>
  <si>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</si>
  <si>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</si>
  <si>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</si>
  <si>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</si>
  <si>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</si>
  <si>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</si>
  <si>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</si>
  <si>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</si>
  <si>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</si>
  <si>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</si>
  <si>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</si>
  <si>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</si>
  <si>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</si>
  <si>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</si>
  <si>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</si>
  <si>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</si>
  <si>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</si>
  <si>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</si>
  <si>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</si>
  <si>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</si>
  <si>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</si>
  <si>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</si>
  <si>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</si>
  <si>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</si>
  <si>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</si>
  <si>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</si>
  <si>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</si>
  <si>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</si>
  <si>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</si>
  <si>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</si>
  <si>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</si>
  <si>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</si>
  <si>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</si>
  <si>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</si>
  <si>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</si>
  <si>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</si>
  <si>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</si>
  <si>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</si>
  <si>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</si>
  <si>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</si>
  <si>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</si>
  <si>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</si>
  <si>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</si>
  <si>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</si>
  <si>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</si>
  <si>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</si>
  <si>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</si>
  <si>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</si>
  <si>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</si>
  <si>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</si>
  <si>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</si>
  <si>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</si>
  <si>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</si>
  <si>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</si>
  <si>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</si>
  <si>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</si>
  <si>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</si>
  <si>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</si>
  <si>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</si>
  <si>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</si>
  <si>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</si>
  <si>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</si>
  <si>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</si>
  <si>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</si>
  <si>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</si>
  <si>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</si>
  <si>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</si>
  <si>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</si>
  <si>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</si>
  <si>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</si>
  <si>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</si>
  <si>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</si>
  <si>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</si>
  <si>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</si>
  <si>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</si>
  <si>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</si>
  <si>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</si>
  <si>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</si>
  <si>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</si>
  <si>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</si>
  <si>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</si>
  <si>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</si>
  <si>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</si>
  <si>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</si>
  <si>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</si>
  <si>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</si>
  <si>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</si>
  <si>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</si>
  <si>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</si>
  <si>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</si>
  <si>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</si>
  <si>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</si>
  <si>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</si>
  <si>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</si>
  <si>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</si>
  <si>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</si>
  <si>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</si>
  <si>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</si>
  <si>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</si>
  <si>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</si>
  <si>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</si>
  <si>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</si>
  <si>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</si>
  <si>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</si>
  <si>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</si>
  <si>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</si>
  <si>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</si>
  <si>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</si>
  <si>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</si>
  <si>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</si>
  <si>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</si>
  <si>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</si>
  <si>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</si>
  <si>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</si>
  <si>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</si>
  <si>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</si>
  <si>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</si>
  <si>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</si>
  <si>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</si>
  <si>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</si>
  <si>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</si>
  <si>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</si>
  <si>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</si>
  <si>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</si>
  <si>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</si>
  <si>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</si>
  <si>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</si>
  <si>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</si>
  <si>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</si>
  <si>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</si>
  <si>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</si>
  <si>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</si>
  <si>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</si>
  <si>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</si>
  <si>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</si>
  <si>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</si>
  <si>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</si>
  <si>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</si>
  <si>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</si>
  <si>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</si>
  <si>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</si>
  <si>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</si>
  <si>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</si>
  <si>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</si>
  <si>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</si>
  <si>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</si>
  <si>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</si>
  <si>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</si>
  <si>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</si>
  <si>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</si>
  <si>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</si>
  <si>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</si>
  <si>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</si>
  <si>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</si>
  <si>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</si>
  <si>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</si>
  <si>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</si>
  <si>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</si>
  <si>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</si>
  <si>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</si>
  <si>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</si>
  <si>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</si>
  <si>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</si>
  <si>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</si>
  <si>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</si>
  <si>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</si>
  <si>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</si>
  <si>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</si>
  <si>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</si>
  <si>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</si>
  <si>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</si>
  <si>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</si>
  <si>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</si>
  <si>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</si>
  <si>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</si>
  <si>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</si>
  <si>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</si>
  <si>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</si>
  <si>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</si>
  <si>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</si>
  <si>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</si>
  <si>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</si>
  <si>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</si>
  <si>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</si>
  <si>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</si>
  <si>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</si>
  <si>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</si>
  <si>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</si>
  <si>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</si>
  <si>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</si>
  <si>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</si>
  <si>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</si>
  <si>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</si>
  <si>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</si>
  <si>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</si>
  <si>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</si>
  <si>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</si>
  <si>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</si>
  <si>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</si>
  <si>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</si>
  <si>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</si>
  <si>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</si>
  <si>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</si>
  <si>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</si>
  <si>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</si>
  <si>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</si>
  <si>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</si>
  <si>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</si>
  <si>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</si>
  <si>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</si>
  <si>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</si>
  <si>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</si>
  <si>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</si>
  <si>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</si>
  <si>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</si>
  <si>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</si>
  <si>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</si>
  <si>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</si>
  <si>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</si>
  <si>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</si>
  <si>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</si>
  <si>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</si>
  <si>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</si>
  <si>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</si>
  <si>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</si>
  <si>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</si>
  <si>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</si>
  <si>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</si>
  <si>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</si>
  <si>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</si>
  <si>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</si>
  <si>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</si>
  <si>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</si>
  <si>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</si>
  <si>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</si>
  <si>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</si>
  <si>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</si>
  <si>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</si>
  <si>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</si>
  <si>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</si>
  <si>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</si>
  <si>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</si>
  <si>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</si>
  <si>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</si>
  <si>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</si>
  <si>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</si>
  <si>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</si>
  <si>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</si>
  <si>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</si>
  <si>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</si>
  <si>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</si>
  <si>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</si>
  <si>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</si>
  <si>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</si>
  <si>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</si>
  <si>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</si>
  <si>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</si>
  <si>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</si>
  <si>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</si>
  <si>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</si>
  <si>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</si>
  <si>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</si>
  <si>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</si>
  <si>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</si>
  <si>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</si>
  <si>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</si>
  <si>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</si>
  <si>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</si>
  <si>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</si>
  <si>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</si>
  <si>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</si>
  <si>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</si>
  <si>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</si>
  <si>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</si>
  <si>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</si>
  <si>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</si>
  <si>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</si>
  <si>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</si>
  <si>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</si>
  <si>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</si>
  <si>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</si>
  <si>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</si>
  <si>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</si>
  <si>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</si>
  <si>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</si>
  <si>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</si>
  <si>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</si>
  <si>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</si>
  <si>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</si>
  <si>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</si>
  <si>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</si>
  <si>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</si>
  <si>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</si>
  <si>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</si>
  <si>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</si>
  <si>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</si>
  <si>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</si>
  <si>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</si>
  <si>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</si>
  <si>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</si>
  <si>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</si>
  <si>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</si>
  <si>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</si>
  <si>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</si>
  <si>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</si>
  <si>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</si>
  <si>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</si>
  <si>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</si>
  <si>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</si>
  <si>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</si>
  <si>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</si>
  <si>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</si>
  <si>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</si>
  <si>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</si>
  <si>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</si>
  <si>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</si>
  <si>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</si>
  <si>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</si>
  <si>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</si>
  <si>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</si>
  <si>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</si>
  <si>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</si>
  <si>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</si>
  <si>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</si>
  <si>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</si>
  <si>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</si>
  <si>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</si>
  <si>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</si>
  <si>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</si>
  <si>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</si>
  <si>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</si>
  <si>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</si>
  <si>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</si>
  <si>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</si>
  <si>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</si>
  <si>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</si>
  <si>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</si>
  <si>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</si>
  <si>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</si>
  <si>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</si>
  <si>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</si>
  <si>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</si>
  <si>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</si>
  <si>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</si>
  <si>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</si>
  <si>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</si>
  <si>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</si>
  <si>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</si>
  <si>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</si>
  <si>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</si>
  <si>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</si>
  <si>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</si>
  <si>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</si>
  <si>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</si>
  <si>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</si>
  <si>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</si>
  <si>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</si>
  <si>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</si>
  <si>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</si>
  <si>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</si>
  <si>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</si>
  <si>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</si>
  <si>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</si>
  <si>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</si>
  <si>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</si>
  <si>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</si>
  <si>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</si>
  <si>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</si>
  <si>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</si>
  <si>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</si>
  <si>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</si>
  <si>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</si>
  <si>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</si>
  <si>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</si>
  <si>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</si>
  <si>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</si>
  <si>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</si>
  <si>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</si>
  <si>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</si>
  <si>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</si>
  <si>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</si>
  <si>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</si>
  <si>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</si>
  <si>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</si>
  <si>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</si>
  <si>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</si>
  <si>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</si>
  <si>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</si>
  <si>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</si>
  <si>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</si>
  <si>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</si>
  <si>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</si>
  <si>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</si>
  <si>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</si>
  <si>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</si>
  <si>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</si>
  <si>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</si>
  <si>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</si>
  <si>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</si>
  <si>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</si>
  <si>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</si>
  <si>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</si>
  <si>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</si>
  <si>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</si>
  <si>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</si>
  <si>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</si>
  <si>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</si>
  <si>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</si>
  <si>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</si>
  <si>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</si>
  <si>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</si>
  <si>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</si>
  <si>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</si>
  <si>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</si>
  <si>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</si>
  <si>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</si>
  <si>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</si>
  <si>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</si>
  <si>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</si>
  <si>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</si>
  <si>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</si>
  <si>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</si>
  <si>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</si>
  <si>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</si>
  <si>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</si>
  <si>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</si>
  <si>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</si>
  <si>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</si>
  <si>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</si>
  <si>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</si>
  <si>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</si>
  <si>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</si>
  <si>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</si>
  <si>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</si>
  <si>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</si>
  <si>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</si>
  <si>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</si>
  <si>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</si>
  <si>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</si>
  <si>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</si>
  <si>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</si>
  <si>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</si>
  <si>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</si>
  <si>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</si>
  <si>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</si>
  <si>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</si>
  <si>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</si>
  <si>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</si>
  <si>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</si>
  <si>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</si>
  <si>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</si>
  <si>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</si>
  <si>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</si>
  <si>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</si>
  <si>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</si>
  <si>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</si>
  <si>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</si>
  <si>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</si>
  <si>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</si>
  <si>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</si>
  <si>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</si>
  <si>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</si>
  <si>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</si>
  <si>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</si>
  <si>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</si>
  <si>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</si>
  <si>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</si>
  <si>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</si>
  <si>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</si>
  <si>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</si>
  <si>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</si>
  <si>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</si>
  <si>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</si>
  <si>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</si>
  <si>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</si>
  <si>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</si>
  <si>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</si>
  <si>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</si>
  <si>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</si>
  <si>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</si>
  <si>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</si>
  <si>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</si>
  <si>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</si>
  <si>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</si>
  <si>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</si>
  <si>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</si>
  <si>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</si>
  <si>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</si>
  <si>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</si>
  <si>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</si>
  <si>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</si>
  <si>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</si>
  <si>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</si>
  <si>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</si>
  <si>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</si>
  <si>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</si>
  <si>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</si>
  <si>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</si>
  <si>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</si>
  <si>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</si>
  <si>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</si>
  <si>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</si>
  <si>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</si>
  <si>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</si>
  <si>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</si>
  <si>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</si>
  <si>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</si>
  <si>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</si>
  <si>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</si>
  <si>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</si>
  <si>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</si>
  <si>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</si>
  <si>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</si>
  <si>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</si>
  <si>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</si>
  <si>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</si>
  <si>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</si>
  <si>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</si>
  <si>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</si>
  <si>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</si>
  <si>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</si>
  <si>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</si>
  <si>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</si>
  <si>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</si>
  <si>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</si>
  <si>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</si>
  <si>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</si>
  <si>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</si>
  <si>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</si>
  <si>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</si>
  <si>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</si>
  <si>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</si>
  <si>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</si>
  <si>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</si>
  <si>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</si>
  <si>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</si>
  <si>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</si>
  <si>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</si>
  <si>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</si>
  <si>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</si>
  <si>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</si>
  <si>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</si>
  <si>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</si>
  <si>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</si>
  <si>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</si>
  <si>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</si>
  <si>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</si>
  <si>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</si>
  <si>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</si>
  <si>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</si>
  <si>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</si>
  <si>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</si>
  <si>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</si>
  <si>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</si>
  <si>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</si>
  <si>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</si>
  <si>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</si>
  <si>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</si>
  <si>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</si>
  <si>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</si>
  <si>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</si>
  <si>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</si>
  <si>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</si>
  <si>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</si>
  <si>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</si>
  <si>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</si>
  <si>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</si>
  <si>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</si>
  <si>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</si>
  <si>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</si>
  <si>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</si>
  <si>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</si>
  <si>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</si>
  <si>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</si>
  <si>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</si>
  <si>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</si>
  <si>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</si>
  <si>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</si>
  <si>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</si>
  <si>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</si>
  <si>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</si>
  <si>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</si>
  <si>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</si>
  <si>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</si>
  <si>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</si>
  <si>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</si>
  <si>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</si>
  <si>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</si>
  <si>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</si>
  <si>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</si>
  <si>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</si>
  <si>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</si>
  <si>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</si>
  <si>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</si>
  <si>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</si>
  <si>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</si>
  <si>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</si>
  <si>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</si>
  <si>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</si>
  <si>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</si>
  <si>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</si>
  <si>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</si>
  <si>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</si>
  <si>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</si>
  <si>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</si>
  <si>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</si>
  <si>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</si>
  <si>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</si>
  <si>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</si>
  <si>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</si>
  <si>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</si>
  <si>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</si>
  <si>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</si>
  <si>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</si>
  <si>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</si>
  <si>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</si>
  <si>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</si>
  <si>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</si>
  <si>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</si>
  <si>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</si>
  <si>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</si>
  <si>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</si>
  <si>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</si>
  <si>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</si>
  <si>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</si>
  <si>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</si>
  <si>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</si>
  <si>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</si>
  <si>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</si>
  <si>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</si>
  <si>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</si>
  <si>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</si>
  <si>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</si>
  <si>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</si>
  <si>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</si>
  <si>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</si>
  <si>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</si>
  <si>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</si>
  <si>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</si>
  <si>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</si>
  <si>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</si>
  <si>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</si>
  <si>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</si>
  <si>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</si>
  <si>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</si>
  <si>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</si>
  <si>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</si>
  <si>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</si>
  <si>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</si>
  <si>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</si>
  <si>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</si>
  <si>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</si>
  <si>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</si>
  <si>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</si>
  <si>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</si>
  <si>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</si>
  <si>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</si>
  <si>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</si>
  <si>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</si>
  <si>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</si>
  <si>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</si>
  <si>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</si>
  <si>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</si>
  <si>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</si>
  <si>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</si>
  <si>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</si>
  <si>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</si>
  <si>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</si>
  <si>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</si>
  <si>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</si>
  <si>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</si>
  <si>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</si>
  <si>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</si>
  <si>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</si>
  <si>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</si>
  <si>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</si>
  <si>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</si>
  <si>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</si>
  <si>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</si>
  <si>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</si>
  <si>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</si>
  <si>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</si>
  <si>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</si>
  <si>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</si>
  <si>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</si>
  <si>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</si>
  <si>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</si>
  <si>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</si>
  <si>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</si>
  <si>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</si>
  <si>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</si>
  <si>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</si>
  <si>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</si>
  <si>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</si>
  <si>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</si>
  <si>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</si>
  <si>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</si>
  <si>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</si>
  <si>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</si>
  <si>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</si>
  <si>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</si>
  <si>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</si>
  <si>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</si>
  <si>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</si>
  <si>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</si>
  <si>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</si>
  <si>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</si>
  <si>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</si>
  <si>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</si>
  <si>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</si>
  <si>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</si>
  <si>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</si>
  <si>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</si>
  <si>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</si>
  <si>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</si>
  <si>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</si>
  <si>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</si>
  <si>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</si>
  <si>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</si>
  <si>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</si>
  <si>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</si>
  <si>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</si>
  <si>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</si>
  <si>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</si>
  <si>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</si>
  <si>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</si>
  <si>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</si>
  <si>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</si>
  <si>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</si>
  <si>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</si>
  <si>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</si>
  <si>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</si>
  <si>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</si>
  <si>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</si>
  <si>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</si>
  <si>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</si>
  <si>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</si>
  <si>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</si>
  <si>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</si>
  <si>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</si>
  <si>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</si>
  <si>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</si>
  <si>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</si>
  <si>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</si>
  <si>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</si>
  <si>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</si>
  <si>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</si>
  <si>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</si>
  <si>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</si>
  <si>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</si>
  <si>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</si>
  <si>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</si>
  <si>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</si>
  <si>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</si>
  <si>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</si>
  <si>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</si>
  <si>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</si>
  <si>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</si>
  <si>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</si>
  <si>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</si>
  <si>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</si>
  <si>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</si>
  <si>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</si>
  <si>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</si>
  <si>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</si>
  <si>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</si>
  <si>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</si>
  <si>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</si>
  <si>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</si>
  <si>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</si>
  <si>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</si>
  <si>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</si>
  <si>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</si>
  <si>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</si>
  <si>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</si>
  <si>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</si>
  <si>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</si>
  <si>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</si>
  <si>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</si>
  <si>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</si>
  <si>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</si>
  <si>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</si>
  <si>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</si>
  <si>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</si>
  <si>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</si>
  <si>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</si>
  <si>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</si>
  <si>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</si>
  <si>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</si>
  <si>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</si>
  <si>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</si>
  <si>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</si>
  <si>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</si>
  <si>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</si>
  <si>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</si>
  <si>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</si>
  <si>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</si>
  <si>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</si>
  <si>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</si>
  <si>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</si>
  <si>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</si>
  <si>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</si>
  <si>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</si>
  <si>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</si>
  <si>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</si>
  <si>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</si>
  <si>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</si>
  <si>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</si>
  <si>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</si>
  <si>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</si>
  <si>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</si>
  <si>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</si>
  <si>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</si>
  <si>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</si>
  <si>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</si>
  <si>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</si>
  <si>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</si>
  <si>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</si>
  <si>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</si>
  <si>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</si>
  <si>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</si>
  <si>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</si>
  <si>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</si>
  <si>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</si>
  <si>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</si>
  <si>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</si>
  <si>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</si>
  <si>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</si>
  <si>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</si>
  <si>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</si>
  <si>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</si>
  <si>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</si>
  <si>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</si>
  <si>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</si>
  <si>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</si>
  <si>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</si>
  <si>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</si>
  <si>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</si>
  <si>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</si>
  <si>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</si>
  <si>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</si>
  <si>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</si>
  <si>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</si>
  <si>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</si>
  <si>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</si>
  <si>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</si>
  <si>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</si>
  <si>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</si>
  <si>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</si>
  <si>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</si>
  <si>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</si>
  <si>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</si>
  <si>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</si>
  <si>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</si>
  <si>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</si>
  <si>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</si>
  <si>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</si>
  <si>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</si>
  <si>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</si>
  <si>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</si>
  <si>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</si>
  <si>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</si>
  <si>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</si>
  <si>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</si>
  <si>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</si>
  <si>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</si>
  <si>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</si>
  <si>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</si>
  <si>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</si>
  <si>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</si>
  <si>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</si>
  <si>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</si>
  <si>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</si>
  <si>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</si>
  <si>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</si>
  <si>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</si>
  <si>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</si>
  <si>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</si>
  <si>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</si>
  <si>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</si>
  <si>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</si>
  <si>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</si>
  <si>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</si>
  <si>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</si>
  <si>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</si>
  <si>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</si>
  <si>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</si>
  <si>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</si>
  <si>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</si>
  <si>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</si>
  <si>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</si>
  <si>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</si>
  <si>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</si>
  <si>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</si>
  <si>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</si>
  <si>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</si>
  <si>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</si>
  <si>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</si>
  <si>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</si>
  <si>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</si>
  <si>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</si>
  <si>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</si>
  <si>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</si>
  <si>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</si>
  <si>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</si>
  <si>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</si>
  <si>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</si>
  <si>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</si>
  <si>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</si>
  <si>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</si>
  <si>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</si>
  <si>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</si>
  <si>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</si>
  <si>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</si>
  <si>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</si>
  <si>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</si>
  <si>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</si>
  <si>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</si>
  <si>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</si>
  <si>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</si>
  <si>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</si>
  <si>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</si>
  <si>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</si>
  <si>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</si>
  <si>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</si>
  <si>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</si>
  <si>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</si>
  <si>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</si>
  <si>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</si>
  <si>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</si>
  <si>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</si>
  <si>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</si>
  <si>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</si>
  <si>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</si>
  <si>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</si>
  <si>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</si>
  <si>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</si>
  <si>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</si>
  <si>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</si>
  <si>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</si>
  <si>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</si>
  <si>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</si>
  <si>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</si>
  <si>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</si>
  <si>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</si>
  <si>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</si>
  <si>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</si>
  <si>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</si>
  <si>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</si>
  <si>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</si>
  <si>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</si>
  <si>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</si>
  <si>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</si>
  <si>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</si>
  <si>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</si>
  <si>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</si>
  <si>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</si>
  <si>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</si>
  <si>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</si>
  <si>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</si>
  <si>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</si>
  <si>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</si>
  <si>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</si>
  <si>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</si>
  <si>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</si>
  <si>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</si>
  <si>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</si>
  <si>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</si>
  <si>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</si>
  <si>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</si>
  <si>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</si>
  <si>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</si>
  <si>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</si>
  <si>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</si>
  <si>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</si>
  <si>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</si>
  <si>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</si>
  <si>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</si>
  <si>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</si>
  <si>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</si>
  <si>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</si>
  <si>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</si>
  <si>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</si>
  <si>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</si>
  <si>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</si>
  <si>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</si>
  <si>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</si>
  <si>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</si>
  <si>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</si>
  <si>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</si>
  <si>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</si>
  <si>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</si>
  <si>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</si>
  <si>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</si>
  <si>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</si>
  <si>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</si>
  <si>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</si>
  <si>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</si>
  <si>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</si>
  <si>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</si>
  <si>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</si>
  <si>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</si>
  <si>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</si>
  <si>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</si>
  <si>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</si>
  <si>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</si>
  <si>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</si>
  <si>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</si>
  <si>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</si>
  <si>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</si>
  <si>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</si>
  <si>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</si>
  <si>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</si>
  <si>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</si>
  <si>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</si>
  <si>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</si>
  <si>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</si>
  <si>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</si>
  <si>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</si>
  <si>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</si>
  <si>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</si>
  <si>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</si>
  <si>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</si>
  <si>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</si>
  <si>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</si>
  <si>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</si>
  <si>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</si>
  <si>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</si>
  <si>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</si>
  <si>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</si>
  <si>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</si>
  <si>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</si>
  <si>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</si>
  <si>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</si>
  <si>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</si>
  <si>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</si>
  <si>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</si>
  <si>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</si>
  <si>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</si>
  <si>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</si>
  <si>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</si>
  <si>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</si>
  <si>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</si>
  <si>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</si>
  <si>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</si>
  <si>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</si>
  <si>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</si>
  <si>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</si>
  <si>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</si>
  <si>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</si>
  <si>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</si>
  <si>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</si>
  <si>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</si>
  <si>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</si>
  <si>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</si>
  <si>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</si>
  <si>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</si>
  <si>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</si>
  <si>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</si>
  <si>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</si>
  <si>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</si>
  <si>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</si>
  <si>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</si>
  <si>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</si>
  <si>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</si>
  <si>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</si>
  <si>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</si>
  <si>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</si>
  <si>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</si>
  <si>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</si>
  <si>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</si>
  <si>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</si>
  <si>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</si>
  <si>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</si>
  <si>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</si>
  <si>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</si>
  <si>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</si>
  <si>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</si>
  <si>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</si>
  <si>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</si>
  <si>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</si>
  <si>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</si>
  <si>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</si>
  <si>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</si>
  <si>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</si>
  <si>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</si>
  <si>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</si>
  <si>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</si>
  <si>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</si>
  <si>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</si>
  <si>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</si>
  <si>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</si>
  <si>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</si>
  <si>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</si>
  <si>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</si>
  <si>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</si>
  <si>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</si>
  <si>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</si>
  <si>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</si>
  <si>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</si>
  <si>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</si>
  <si>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</si>
  <si>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</si>
  <si>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</si>
  <si>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</si>
  <si>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</si>
  <si>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</si>
  <si>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</si>
  <si>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</si>
  <si>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</si>
  <si>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</si>
  <si>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</si>
  <si>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</si>
  <si>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</si>
  <si>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</si>
  <si>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</si>
  <si>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</si>
  <si>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</si>
  <si>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</si>
  <si>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</si>
  <si>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</si>
  <si>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</si>
  <si>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</si>
  <si>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</si>
  <si>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</si>
  <si>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</si>
  <si>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</si>
  <si>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</si>
  <si>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</si>
  <si>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</si>
  <si>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</si>
  <si>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</si>
  <si>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</si>
  <si>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</si>
  <si>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</si>
  <si>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</si>
  <si>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</si>
  <si>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</si>
  <si>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</si>
  <si>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</si>
  <si>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</si>
  <si>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</si>
  <si>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</si>
  <si>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</si>
  <si>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</si>
  <si>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</si>
  <si>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</si>
  <si>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</si>
  <si>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</si>
  <si>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</si>
  <si>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</si>
  <si>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</si>
  <si>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</si>
  <si>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</si>
  <si>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</si>
  <si>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</si>
  <si>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</si>
  <si>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</si>
  <si>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</si>
  <si>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</si>
  <si>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</si>
  <si>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</si>
  <si>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</si>
  <si>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</si>
  <si>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</si>
  <si>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</si>
  <si>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</si>
  <si>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</si>
  <si>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</si>
  <si>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</si>
  <si>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</si>
  <si>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</si>
  <si>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</si>
  <si>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</si>
  <si>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</si>
  <si>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</si>
  <si>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</si>
  <si>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</si>
  <si>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</si>
  <si>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</si>
  <si>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</si>
  <si>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</si>
  <si>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</si>
  <si>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</si>
  <si>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</si>
  <si>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</si>
  <si>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</si>
  <si>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</si>
  <si>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</si>
  <si>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</si>
  <si>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</si>
  <si>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</si>
  <si>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</si>
  <si>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</si>
  <si>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</si>
  <si>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</si>
  <si>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</si>
  <si>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</si>
  <si>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</si>
  <si>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</si>
  <si>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</si>
  <si>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</si>
  <si>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</si>
  <si>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</si>
  <si>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</si>
  <si>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</si>
  <si>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</si>
  <si>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</si>
  <si>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</si>
  <si>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</si>
  <si>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</si>
  <si>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</si>
  <si>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</si>
  <si>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</si>
  <si>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</si>
  <si>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</si>
  <si>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</si>
  <si>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</si>
  <si>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</si>
  <si>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</si>
  <si>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</si>
  <si>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</si>
  <si>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</si>
  <si>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</si>
  <si>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</si>
  <si>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</si>
  <si>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</si>
  <si>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</si>
  <si>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</si>
  <si>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</si>
  <si>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</si>
  <si>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</si>
  <si>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</si>
  <si>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</si>
  <si>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</si>
  <si>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</si>
  <si>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</si>
  <si>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</si>
  <si>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</si>
  <si>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</si>
  <si>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</si>
  <si>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</si>
  <si>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</si>
  <si>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</si>
  <si>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</si>
  <si>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</si>
  <si>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</si>
  <si>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</si>
  <si>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</si>
  <si>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</si>
  <si>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</si>
  <si>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</si>
  <si>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</si>
  <si>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</si>
  <si>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</si>
  <si>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</si>
  <si>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</si>
  <si>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</si>
  <si>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</si>
  <si>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</si>
  <si>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</si>
  <si>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</si>
  <si>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</si>
  <si>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</si>
  <si>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</si>
  <si>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</si>
  <si>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</si>
  <si>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</si>
  <si>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</si>
  <si>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</si>
  <si>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</si>
  <si>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</si>
  <si>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</si>
  <si>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</si>
  <si>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</si>
  <si>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</si>
  <si>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</si>
  <si>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</si>
  <si>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</si>
  <si>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</si>
  <si>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</si>
  <si>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</si>
  <si>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</si>
  <si>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</si>
  <si>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</si>
  <si>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</si>
  <si>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</si>
  <si>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</si>
  <si>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</si>
  <si>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</si>
  <si>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</si>
  <si>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</si>
  <si>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</si>
  <si>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</si>
  <si>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</si>
  <si>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</si>
  <si>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</si>
  <si>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</si>
  <si>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</si>
  <si>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</si>
  <si>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</si>
  <si>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</si>
  <si>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</si>
  <si>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</si>
  <si>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</si>
  <si>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</si>
  <si>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</si>
  <si>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</si>
  <si>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</si>
  <si>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</si>
  <si>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</si>
  <si>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</si>
  <si>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</si>
  <si>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</si>
  <si>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</si>
  <si>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</si>
  <si>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</si>
  <si>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</si>
  <si>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</si>
  <si>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</si>
  <si>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</si>
  <si>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</si>
  <si>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</si>
  <si>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</si>
  <si>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</si>
  <si>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</si>
  <si>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</si>
  <si>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</si>
  <si>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</si>
  <si>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</si>
  <si>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</si>
  <si>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</si>
  <si>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</si>
  <si>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</si>
  <si>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</si>
  <si>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</si>
  <si>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</si>
  <si>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</si>
  <si>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</si>
  <si>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</si>
  <si>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</si>
  <si>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</si>
  <si>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</si>
  <si>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</si>
  <si>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</si>
  <si>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</si>
  <si>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</si>
  <si>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</si>
  <si>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</si>
  <si>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</si>
  <si>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</si>
  <si>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</si>
  <si>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</si>
  <si>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</si>
  <si>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</si>
  <si>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</si>
  <si>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</si>
  <si>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</si>
  <si>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</si>
  <si>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</si>
  <si>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</si>
  <si>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</si>
  <si>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</si>
  <si>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</si>
  <si>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</si>
  <si>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</si>
  <si>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</si>
  <si>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</si>
  <si>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</si>
  <si>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</si>
  <si>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</si>
  <si>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</si>
  <si>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</si>
  <si>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</si>
  <si>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</si>
  <si>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</si>
  <si>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</si>
  <si>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</si>
  <si>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</si>
  <si>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</si>
  <si>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</si>
  <si>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</si>
  <si>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</si>
  <si>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</si>
  <si>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</si>
  <si>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</si>
  <si>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</si>
  <si>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</si>
  <si>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</si>
  <si>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</si>
  <si>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</si>
  <si>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</si>
  <si>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</si>
  <si>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</si>
  <si>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</si>
  <si>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</si>
  <si>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</si>
  <si>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</si>
  <si>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</si>
  <si>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</si>
  <si>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</si>
  <si>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</si>
  <si>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</si>
  <si>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</si>
  <si>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</si>
  <si>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</si>
  <si>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</si>
  <si>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</si>
  <si>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</si>
  <si>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</si>
  <si>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</si>
  <si>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</si>
  <si>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</si>
  <si>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</si>
  <si>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</si>
  <si>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</si>
  <si>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</si>
  <si>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</si>
  <si>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</si>
  <si>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</si>
  <si>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</si>
  <si>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</si>
  <si>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</si>
  <si>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</si>
  <si>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</si>
  <si>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</si>
  <si>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</si>
  <si>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</si>
  <si>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</si>
  <si>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</si>
  <si>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</si>
  <si>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</si>
  <si>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</si>
  <si>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</si>
  <si>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</si>
  <si>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</si>
  <si>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</si>
  <si>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</si>
  <si>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</si>
  <si>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</si>
  <si>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</si>
  <si>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</si>
  <si>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</si>
  <si>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</si>
  <si>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</si>
  <si>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</si>
  <si>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</si>
  <si>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</si>
  <si>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</si>
  <si>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</si>
  <si>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</si>
  <si>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</si>
  <si>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</si>
  <si>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</si>
  <si>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</si>
  <si>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</si>
  <si>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</si>
  <si>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</si>
  <si>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</si>
  <si>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</si>
  <si>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</si>
  <si>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</si>
  <si>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</si>
  <si>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</si>
  <si>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</si>
  <si>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</si>
  <si>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</si>
  <si>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</si>
  <si>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</si>
  <si>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</si>
  <si>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</si>
  <si>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</si>
  <si>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</si>
  <si>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</si>
  <si>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</si>
  <si>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</si>
  <si>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</si>
  <si>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</si>
  <si>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</si>
  <si>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</si>
  <si>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</si>
  <si>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</si>
  <si>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</si>
  <si>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</si>
  <si>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</si>
  <si>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</si>
  <si>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</si>
  <si>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</si>
  <si>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</si>
  <si>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</si>
  <si>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</si>
  <si>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</si>
  <si>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</si>
  <si>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</si>
  <si>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</si>
  <si>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</si>
  <si>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</si>
  <si>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</si>
  <si>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</si>
  <si>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</si>
  <si>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</si>
  <si>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</si>
  <si>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</si>
  <si>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</si>
  <si>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</si>
  <si>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</si>
  <si>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</si>
  <si>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</si>
  <si>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</si>
  <si>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</si>
  <si>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</si>
  <si>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</si>
  <si>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</si>
  <si>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</si>
  <si>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</si>
  <si>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</si>
  <si>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</si>
  <si>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</si>
  <si>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</si>
  <si>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</si>
  <si>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</si>
  <si>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</si>
  <si>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</si>
  <si>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</si>
  <si>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</si>
  <si>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</si>
  <si>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</si>
  <si>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</si>
  <si>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</si>
  <si>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</si>
  <si>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</si>
  <si>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</si>
  <si>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</si>
  <si>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</si>
  <si>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</si>
  <si>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</si>
  <si>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</si>
  <si>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</si>
  <si>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</si>
  <si>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</si>
  <si>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</si>
  <si>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</si>
  <si>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</si>
  <si>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</si>
  <si>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</si>
  <si>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</si>
  <si>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</si>
  <si>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</si>
  <si>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</si>
  <si>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</si>
  <si>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</si>
  <si>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</si>
  <si>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</si>
  <si>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</si>
  <si>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</si>
  <si>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</si>
  <si>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</si>
  <si>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</si>
  <si>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</si>
  <si>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</si>
  <si>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</si>
  <si>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</si>
  <si>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</si>
  <si>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</si>
  <si>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</si>
  <si>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</si>
  <si>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</si>
  <si>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</si>
  <si>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</si>
  <si>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</si>
  <si>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</si>
  <si>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</si>
  <si>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</si>
  <si>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</si>
  <si>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</si>
  <si>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</si>
  <si>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</si>
  <si>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</si>
  <si>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</si>
  <si>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</si>
  <si>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</si>
  <si>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</si>
  <si>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</si>
  <si>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</si>
  <si>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</si>
  <si>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</si>
  <si>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</si>
  <si>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</si>
  <si>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</si>
  <si>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</si>
  <si>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</si>
  <si>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</si>
  <si>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</si>
  <si>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</si>
  <si>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</si>
  <si>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</si>
  <si>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</si>
  <si>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</si>
  <si>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</si>
  <si>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</si>
  <si>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</si>
  <si>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</si>
  <si>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</si>
  <si>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</si>
  <si>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</si>
  <si>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</si>
  <si>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</si>
  <si>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</si>
  <si>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</si>
  <si>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</si>
  <si>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</si>
  <si>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</si>
  <si>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</si>
  <si>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</si>
  <si>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</si>
  <si>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</si>
  <si>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</si>
  <si>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</si>
  <si>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</si>
  <si>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</si>
  <si>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</si>
  <si>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</si>
  <si>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</si>
  <si>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</si>
  <si>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</si>
  <si>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</si>
  <si>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</si>
  <si>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</si>
  <si>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</si>
  <si>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</si>
  <si>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</si>
  <si>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</si>
  <si>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</si>
  <si>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</si>
  <si>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</si>
  <si>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</si>
  <si>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</si>
  <si>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</si>
  <si>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</si>
  <si>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</si>
  <si>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</si>
  <si>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</si>
  <si>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</si>
  <si>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</si>
  <si>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</si>
  <si>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</si>
  <si>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</si>
  <si>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</si>
  <si>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</si>
  <si>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</si>
  <si>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</si>
  <si>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</si>
  <si>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</si>
  <si>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</si>
  <si>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</si>
  <si>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</si>
  <si>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</si>
  <si>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</si>
  <si>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</si>
  <si>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</si>
  <si>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</si>
  <si>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</si>
  <si>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</si>
  <si>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</si>
  <si>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</si>
  <si>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</si>
  <si>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</si>
  <si>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</si>
  <si>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</si>
  <si>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</si>
  <si>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</si>
  <si>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</si>
  <si>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</si>
  <si>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</si>
  <si>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</si>
  <si>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</si>
  <si>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</si>
  <si>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</si>
  <si>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</si>
  <si>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</si>
  <si>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</si>
  <si>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</si>
  <si>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</si>
  <si>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</si>
  <si>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</si>
  <si>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</si>
  <si>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</si>
  <si>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</si>
  <si>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</si>
  <si>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</si>
  <si>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</si>
  <si>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</si>
  <si>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</si>
  <si>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</si>
  <si>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</si>
  <si>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</si>
  <si>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</si>
  <si>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</si>
  <si>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</si>
  <si>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</si>
  <si>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</si>
  <si>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</si>
  <si>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</si>
  <si>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</si>
  <si>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</si>
  <si>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</si>
  <si>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</si>
  <si>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</si>
  <si>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</si>
  <si>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</si>
  <si>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</si>
  <si>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</si>
  <si>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</si>
  <si>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</si>
  <si>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</si>
  <si>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</si>
  <si>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</si>
  <si>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</si>
  <si>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</si>
  <si>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</si>
  <si>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</si>
  <si>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</si>
  <si>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</si>
  <si>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</si>
  <si>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</si>
  <si>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</si>
  <si>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</si>
  <si>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</si>
  <si>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</si>
  <si>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</si>
  <si>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</si>
  <si>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</si>
  <si>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</si>
  <si>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</si>
  <si>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</si>
  <si>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</si>
  <si>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</si>
  <si>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</si>
  <si>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</si>
  <si>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</si>
  <si>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</si>
  <si>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</si>
  <si>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</si>
  <si>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</si>
  <si>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</si>
  <si>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</si>
  <si>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</si>
  <si>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</si>
  <si>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</si>
  <si>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</si>
  <si>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</si>
  <si>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</si>
  <si>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</si>
  <si>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</si>
  <si>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</si>
  <si>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</si>
  <si>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</si>
  <si>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</si>
  <si>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</si>
  <si>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</si>
  <si>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</si>
  <si>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</si>
  <si>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</si>
  <si>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</si>
  <si>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</si>
  <si>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</si>
  <si>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</si>
  <si>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</si>
  <si>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</si>
  <si>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</si>
  <si>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</si>
  <si>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</si>
  <si>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</si>
  <si>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</si>
  <si>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</si>
  <si>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</si>
  <si>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</si>
  <si>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</si>
  <si>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</si>
  <si>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</si>
  <si>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</si>
  <si>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</si>
  <si>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</si>
  <si>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</si>
  <si>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</si>
  <si>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</si>
  <si>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</si>
  <si>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</si>
  <si>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</si>
  <si>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</si>
  <si>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</si>
  <si>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</si>
  <si>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</si>
  <si>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</si>
  <si>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</si>
  <si>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</si>
  <si>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</si>
  <si>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</si>
  <si>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</si>
  <si>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</si>
  <si>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</si>
  <si>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</si>
  <si>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</si>
  <si>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</si>
  <si>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</si>
  <si>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</si>
  <si>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</si>
  <si>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</si>
  <si>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</si>
  <si>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</si>
  <si>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</si>
  <si>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</si>
  <si>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</si>
  <si>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</si>
  <si>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</si>
  <si>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</si>
  <si>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</si>
  <si>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</si>
  <si>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</si>
  <si>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</si>
  <si>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</si>
  <si>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</si>
  <si>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</si>
  <si>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</si>
  <si>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</si>
  <si>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</si>
  <si>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</si>
  <si>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</si>
  <si>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</si>
  <si>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</si>
  <si>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</si>
  <si>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</si>
  <si>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</si>
  <si>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</si>
  <si>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</si>
  <si>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</si>
  <si>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</si>
  <si>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</si>
  <si>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</si>
  <si>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</si>
  <si>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</si>
  <si>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</si>
  <si>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</si>
  <si>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</si>
  <si>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</si>
  <si>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</si>
  <si>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</si>
  <si>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</si>
  <si>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</si>
  <si>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</si>
  <si>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</si>
  <si>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</si>
  <si>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</si>
  <si>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</si>
  <si>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</si>
  <si>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</si>
  <si>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</si>
  <si>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</si>
  <si>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</si>
  <si>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</si>
  <si>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</si>
  <si>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</si>
  <si>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</si>
  <si>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</si>
  <si>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</si>
  <si>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</si>
  <si>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</si>
  <si>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</si>
  <si>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</si>
  <si>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</si>
  <si>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</si>
  <si>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</si>
  <si>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</si>
  <si>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</si>
  <si>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</si>
  <si>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</si>
  <si>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</si>
  <si>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</si>
  <si>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</si>
  <si>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</si>
  <si>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</si>
  <si>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</si>
  <si>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</si>
  <si>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</si>
  <si>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</si>
  <si>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</si>
  <si>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</si>
  <si>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</si>
  <si>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</si>
  <si>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</si>
  <si>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</si>
  <si>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</si>
  <si>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</si>
  <si>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</si>
  <si>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</si>
  <si>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</si>
  <si>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</si>
  <si>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</si>
  <si>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</si>
  <si>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</si>
  <si>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</si>
  <si>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</si>
  <si>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</si>
  <si>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</si>
  <si>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</si>
  <si>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</si>
  <si>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</si>
  <si>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</si>
  <si>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</si>
  <si>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</si>
  <si>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</si>
  <si>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</si>
  <si>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</si>
  <si>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</si>
  <si>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</si>
  <si>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</si>
  <si>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</si>
  <si>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</si>
  <si>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</si>
  <si>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</si>
  <si>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</si>
  <si>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</si>
  <si>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</si>
  <si>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</si>
  <si>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</si>
  <si>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</si>
  <si>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</si>
  <si>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</si>
  <si>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</si>
  <si>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</si>
  <si>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</si>
  <si>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</si>
  <si>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</si>
  <si>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</si>
  <si>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</si>
  <si>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</si>
  <si>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</si>
  <si>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</si>
  <si>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</si>
  <si>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</si>
  <si>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</si>
  <si>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</si>
  <si>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</si>
  <si>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</si>
  <si>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</si>
  <si>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</si>
  <si>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</si>
  <si>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</si>
  <si>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</si>
  <si>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</si>
  <si>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</si>
  <si>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</si>
  <si>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</si>
  <si>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</si>
  <si>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</si>
  <si>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</si>
  <si>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</si>
  <si>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</si>
  <si>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</si>
  <si>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</si>
  <si>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</si>
  <si>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</si>
  <si>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</si>
  <si>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</si>
  <si>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</si>
  <si>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</si>
  <si>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</si>
  <si>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</si>
  <si>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</si>
  <si>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</si>
  <si>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</si>
  <si>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</si>
  <si>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</si>
  <si>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</si>
  <si>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</si>
  <si>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</si>
  <si>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</si>
  <si>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</si>
  <si>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</si>
  <si>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</si>
  <si>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</si>
  <si>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</si>
  <si>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</si>
  <si>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</si>
  <si>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</si>
  <si>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</si>
  <si>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</si>
  <si>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</si>
  <si>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</si>
  <si>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</si>
  <si>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</si>
  <si>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</si>
  <si>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</si>
  <si>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</si>
  <si>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</si>
  <si>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</si>
  <si>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</si>
  <si>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</si>
  <si>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</si>
  <si>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</si>
  <si>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</si>
  <si>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</si>
  <si>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</si>
  <si>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</si>
  <si>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</si>
  <si>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</si>
  <si>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</si>
  <si>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</si>
  <si>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</si>
  <si>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</si>
  <si>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</si>
  <si>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</si>
  <si>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</si>
  <si>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</si>
  <si>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</si>
  <si>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</si>
  <si>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</si>
  <si>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</si>
  <si>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</si>
  <si>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</si>
  <si>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</si>
  <si>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</si>
  <si>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</si>
  <si>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</si>
  <si>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</si>
  <si>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</si>
  <si>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</si>
  <si>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</si>
  <si>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</si>
  <si>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</si>
  <si>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</si>
  <si>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</si>
  <si>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</si>
  <si>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</si>
  <si>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</si>
  <si>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</si>
  <si>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</si>
  <si>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</si>
  <si>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</si>
  <si>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</si>
  <si>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</si>
  <si>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</si>
  <si>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</si>
  <si>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</si>
  <si>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</si>
  <si>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</si>
  <si>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</si>
  <si>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</si>
  <si>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</si>
  <si>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</si>
  <si>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</si>
  <si>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</si>
  <si>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</si>
  <si>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</si>
  <si>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</si>
  <si>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</si>
  <si>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</si>
  <si>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</si>
  <si>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</si>
  <si>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</si>
  <si>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</si>
  <si>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</si>
  <si>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</si>
  <si>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</si>
  <si>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</si>
  <si>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</si>
  <si>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</si>
  <si>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</si>
  <si>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</si>
  <si>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</si>
  <si>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</si>
  <si>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</si>
  <si>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</si>
  <si>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</si>
  <si>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</si>
  <si>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</si>
  <si>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</si>
  <si>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</si>
  <si>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</si>
  <si>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</si>
  <si>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</si>
  <si>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</si>
  <si>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</si>
  <si>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</si>
  <si>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</si>
  <si>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</si>
  <si>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</si>
  <si>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</si>
  <si>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</si>
  <si>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</si>
  <si>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</si>
  <si>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</si>
  <si>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</si>
  <si>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</si>
  <si>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</si>
  <si>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</si>
  <si>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</si>
  <si>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</si>
  <si>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</si>
  <si>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</si>
  <si>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</si>
  <si>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</si>
  <si>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</si>
  <si>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</si>
  <si>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</si>
  <si>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</si>
  <si>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</si>
  <si>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</si>
  <si>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</si>
  <si>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</si>
  <si>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</si>
  <si>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</si>
  <si>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</si>
  <si>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</si>
  <si>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</si>
  <si>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</si>
  <si>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</si>
  <si>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</si>
  <si>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</si>
  <si>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</si>
  <si>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</si>
  <si>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</si>
  <si>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</si>
  <si>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</si>
  <si>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</si>
  <si>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</si>
  <si>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</si>
  <si>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</si>
  <si>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</si>
  <si>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</si>
  <si>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</si>
  <si>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</si>
  <si>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</si>
  <si>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</si>
  <si>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</si>
  <si>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</si>
  <si>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</si>
  <si>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</si>
  <si>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</si>
  <si>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</si>
  <si>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</si>
  <si>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</si>
  <si>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</si>
  <si>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</si>
  <si>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</si>
  <si>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</si>
  <si>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</si>
  <si>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</si>
  <si>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</si>
  <si>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</si>
  <si>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</si>
  <si>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</si>
  <si>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</si>
  <si>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</si>
  <si>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</si>
  <si>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</si>
  <si>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</si>
  <si>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</si>
  <si>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</si>
  <si>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</si>
  <si>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</si>
  <si>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</si>
  <si>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</si>
  <si>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</si>
  <si>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</si>
  <si>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</si>
  <si>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</si>
  <si>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</si>
  <si>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</si>
  <si>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</si>
  <si>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</si>
  <si>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</si>
  <si>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</si>
  <si>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</si>
  <si>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</si>
  <si>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</si>
  <si>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</si>
  <si>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</si>
  <si>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</si>
  <si>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</si>
  <si>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</si>
  <si>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</si>
  <si>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</si>
  <si>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</si>
  <si>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</si>
  <si>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</si>
  <si>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</si>
  <si>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</si>
  <si>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</si>
  <si>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</si>
  <si>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</si>
  <si>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</si>
  <si>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</si>
  <si>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</si>
  <si>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</si>
  <si>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</si>
  <si>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</si>
  <si>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</si>
  <si>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</si>
  <si>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</si>
  <si>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</si>
  <si>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</si>
  <si>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</si>
  <si>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</si>
  <si>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</si>
  <si>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</si>
  <si>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</si>
  <si>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</si>
  <si>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</si>
  <si>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</si>
  <si>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</si>
  <si>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</si>
  <si>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</si>
  <si>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</si>
  <si>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</si>
  <si>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</si>
  <si>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</si>
  <si>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</si>
  <si>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</si>
  <si>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</si>
  <si>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</si>
  <si>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</si>
  <si>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</si>
  <si>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</si>
  <si>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</si>
  <si>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</si>
  <si>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</si>
  <si>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</si>
  <si>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</si>
  <si>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</si>
  <si>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</si>
  <si>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</si>
  <si>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</si>
  <si>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</si>
  <si>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</si>
  <si>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</si>
  <si>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</si>
  <si>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</si>
  <si>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</si>
  <si>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</si>
  <si>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</si>
  <si>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</si>
  <si>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</si>
  <si>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</si>
  <si>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</si>
  <si>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</si>
  <si>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</si>
  <si>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</si>
  <si>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</si>
  <si>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</si>
  <si>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</si>
  <si>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</si>
  <si>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</si>
  <si>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</si>
  <si>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</si>
  <si>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</si>
  <si>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</si>
  <si>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</si>
  <si>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</si>
  <si>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</si>
  <si>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</si>
  <si>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</si>
  <si>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</si>
  <si>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</si>
  <si>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</si>
  <si>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</si>
  <si>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</si>
  <si>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</si>
  <si>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</si>
  <si>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</si>
  <si>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</si>
  <si>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</si>
  <si>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</si>
  <si>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</si>
  <si>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</si>
  <si>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</si>
  <si>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</si>
  <si>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</si>
  <si>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</si>
  <si>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</si>
  <si>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</si>
  <si>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</si>
  <si>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</si>
  <si>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</si>
  <si>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</si>
  <si>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</si>
  <si>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</si>
  <si>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</si>
  <si>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</si>
  <si>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</si>
  <si>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</si>
  <si>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</si>
  <si>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</si>
  <si>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</si>
  <si>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</si>
  <si>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</si>
  <si>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</si>
  <si>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</si>
  <si>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</si>
  <si>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</si>
  <si>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</si>
  <si>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</si>
  <si>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</si>
  <si>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</si>
  <si>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</si>
  <si>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</si>
  <si>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</si>
  <si>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</si>
  <si>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</si>
  <si>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</si>
  <si>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</si>
  <si>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</si>
  <si>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</si>
  <si>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</si>
  <si>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</si>
  <si>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</si>
  <si>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</si>
  <si>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</si>
  <si>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</si>
  <si>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</si>
  <si>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</si>
  <si>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</si>
  <si>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</si>
  <si>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</si>
  <si>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</si>
  <si>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</si>
  <si>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</si>
  <si>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</si>
  <si>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</si>
  <si>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</si>
  <si>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</si>
  <si>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</si>
  <si>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</si>
  <si>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</si>
  <si>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</si>
  <si>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</si>
  <si>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</si>
  <si>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</si>
  <si>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</si>
  <si>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</si>
  <si>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</si>
  <si>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</si>
  <si>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</si>
  <si>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</si>
  <si>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</si>
  <si>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</si>
  <si>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</si>
  <si>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</si>
  <si>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</si>
  <si>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</si>
  <si>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</si>
  <si>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</si>
  <si>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</si>
  <si>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</si>
  <si>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</si>
  <si>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</si>
  <si>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</si>
  <si>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</si>
  <si>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</si>
  <si>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</si>
  <si>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</si>
  <si>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</si>
  <si>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</si>
  <si>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</si>
  <si>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</si>
  <si>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</si>
  <si>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</si>
  <si>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</si>
  <si>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</si>
  <si>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</si>
  <si>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</si>
  <si>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</si>
  <si>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</si>
  <si>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</si>
  <si>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</si>
  <si>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</si>
  <si>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</si>
  <si>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</si>
  <si>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</si>
  <si>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</si>
  <si>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</si>
  <si>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</si>
  <si>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</si>
  <si>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</si>
  <si>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</si>
  <si>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</si>
  <si>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</si>
  <si>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</si>
  <si>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</si>
  <si>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</si>
  <si>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</si>
  <si>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</si>
  <si>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</si>
  <si>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</si>
  <si>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</si>
  <si>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</si>
  <si>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</si>
  <si>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</si>
  <si>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</si>
  <si>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</si>
  <si>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</si>
  <si>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</si>
  <si>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</si>
  <si>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</si>
  <si>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</si>
  <si>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</si>
  <si>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</si>
  <si>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</si>
  <si>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</si>
  <si>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</si>
  <si>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</si>
  <si>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</si>
  <si>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</si>
  <si>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</si>
  <si>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</si>
  <si>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</si>
  <si>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</si>
  <si>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</si>
  <si>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</si>
  <si>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</si>
  <si>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</si>
  <si>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</si>
  <si>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</si>
  <si>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</si>
  <si>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</si>
  <si>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</si>
  <si>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</si>
  <si>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</si>
  <si>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</si>
  <si>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</si>
  <si>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</si>
  <si>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</si>
  <si>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</si>
  <si>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</si>
  <si>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</si>
  <si>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</si>
  <si>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</si>
  <si>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</si>
  <si>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</si>
  <si>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</si>
  <si>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</si>
  <si>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</si>
  <si>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</si>
  <si>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</si>
  <si>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</si>
  <si>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</si>
  <si>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</si>
  <si>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</si>
  <si>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</si>
  <si>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</si>
  <si>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</si>
  <si>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</si>
  <si>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</si>
  <si>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</si>
  <si>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</si>
  <si>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</si>
  <si>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</si>
  <si>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</si>
  <si>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</si>
  <si>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</si>
  <si>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</si>
  <si>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</si>
  <si>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</si>
  <si>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</si>
  <si>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</si>
  <si>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</si>
  <si>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</si>
  <si>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</si>
  <si>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</si>
  <si>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</si>
  <si>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</si>
  <si>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</si>
  <si>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</si>
  <si>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</si>
  <si>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</si>
  <si>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</si>
  <si>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</si>
  <si>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</si>
  <si>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</si>
  <si>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</si>
  <si>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</si>
  <si>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</si>
  <si>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</si>
  <si>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</si>
  <si>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</si>
  <si>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</si>
  <si>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</si>
  <si>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</si>
  <si>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</si>
  <si>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</si>
  <si>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</si>
  <si>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</si>
  <si>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</si>
  <si>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</si>
  <si>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</si>
  <si>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</si>
  <si>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</si>
  <si>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</si>
  <si>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</si>
  <si>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</si>
  <si>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</si>
  <si>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</si>
  <si>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</si>
  <si>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</si>
  <si>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</si>
  <si>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</si>
  <si>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</si>
  <si>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</si>
  <si>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</si>
  <si>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</si>
  <si>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</si>
  <si>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</si>
  <si>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</si>
  <si>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</si>
  <si>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</si>
  <si>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</si>
  <si>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</si>
  <si>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</si>
  <si>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</si>
  <si>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</si>
  <si>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</si>
  <si>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</si>
  <si>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</si>
  <si>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</si>
  <si>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</si>
  <si>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</si>
  <si>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</si>
  <si>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</si>
  <si>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</si>
  <si>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</si>
  <si>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</si>
  <si>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</si>
  <si>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</si>
  <si>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</si>
  <si>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</si>
  <si>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</si>
  <si>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</si>
  <si>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</si>
  <si>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</si>
  <si>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</si>
  <si>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</si>
  <si>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</si>
  <si>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</si>
  <si>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</si>
  <si>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</si>
  <si>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</si>
  <si>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</si>
  <si>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</si>
  <si>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</si>
  <si>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</si>
  <si>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</si>
  <si>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</si>
  <si>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</si>
  <si>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</si>
  <si>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</si>
  <si>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</si>
  <si>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</si>
  <si>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</si>
  <si>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</si>
  <si>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</si>
  <si>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</si>
  <si>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</si>
  <si>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</si>
  <si>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</si>
  <si>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</si>
  <si>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</si>
  <si>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</si>
  <si>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</si>
  <si>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</si>
  <si>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</si>
  <si>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</si>
  <si>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</si>
  <si>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</si>
  <si>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</si>
  <si>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</si>
  <si>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</si>
  <si>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</si>
  <si>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</si>
  <si>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</si>
  <si>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</si>
  <si>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</si>
  <si>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</si>
  <si>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</si>
  <si>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</si>
  <si>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</si>
  <si>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</si>
  <si>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</si>
  <si>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</si>
  <si>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</si>
  <si>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</si>
  <si>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</si>
  <si>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</si>
  <si>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</si>
  <si>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</si>
  <si>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</si>
  <si>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</si>
  <si>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</si>
  <si>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</si>
  <si>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</si>
  <si>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</si>
  <si>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</si>
  <si>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</si>
  <si>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</si>
  <si>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</si>
  <si>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</si>
  <si>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</si>
  <si>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</si>
  <si>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</si>
  <si>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</si>
  <si>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</si>
  <si>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</si>
  <si>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</si>
  <si>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</si>
  <si>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</si>
  <si>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</si>
  <si>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</si>
  <si>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</si>
  <si>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</si>
  <si>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</si>
  <si>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</si>
  <si>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</si>
  <si>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</si>
  <si>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</si>
  <si>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</si>
  <si>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</si>
  <si>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</si>
  <si>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</si>
  <si>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</si>
  <si>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</si>
  <si>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</si>
  <si>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</si>
  <si>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</si>
  <si>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</si>
  <si>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</si>
  <si>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</si>
  <si>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</si>
  <si>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</si>
  <si>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</si>
  <si>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</si>
  <si>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</si>
  <si>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</si>
  <si>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</si>
  <si>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</si>
  <si>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</si>
  <si>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</si>
  <si>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</si>
  <si>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</si>
  <si>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</si>
  <si>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</si>
  <si>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</si>
  <si>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</si>
  <si>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</si>
  <si>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</si>
  <si>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</si>
  <si>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</si>
  <si>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</si>
  <si>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</si>
  <si>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</si>
  <si>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</si>
  <si>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</si>
  <si>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</si>
  <si>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</si>
  <si>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</si>
  <si>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</si>
  <si>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</si>
  <si>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</si>
  <si>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</si>
  <si>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</si>
  <si>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</si>
  <si>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</si>
  <si>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</si>
  <si>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</si>
  <si>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</si>
  <si>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</si>
  <si>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</si>
  <si>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</si>
  <si>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</si>
  <si>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</si>
  <si>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</si>
  <si>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</si>
  <si>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</si>
  <si>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</si>
  <si>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</si>
  <si>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</si>
  <si>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</si>
  <si>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</si>
  <si>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</si>
  <si>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</si>
  <si>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</si>
  <si>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</si>
  <si>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</si>
  <si>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</si>
  <si>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</si>
  <si>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</si>
  <si>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</si>
  <si>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</si>
  <si>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</si>
  <si>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</si>
  <si>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</si>
  <si>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</si>
  <si>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</si>
  <si>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</si>
  <si>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</si>
  <si>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</si>
  <si>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</si>
  <si>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</si>
  <si>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</si>
  <si>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</si>
  <si>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</si>
  <si>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</si>
  <si>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</si>
  <si>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</si>
  <si>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</si>
  <si>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</si>
  <si>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</si>
  <si>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</si>
  <si>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</si>
  <si>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</si>
  <si>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</si>
  <si>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</si>
  <si>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</si>
  <si>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</si>
  <si>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</si>
  <si>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</si>
  <si>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</si>
  <si>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</si>
  <si>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</si>
  <si>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</si>
  <si>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</si>
  <si>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</si>
  <si>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</si>
  <si>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</si>
  <si>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</si>
  <si>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</si>
  <si>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</si>
  <si>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</si>
  <si>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</si>
  <si>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</si>
  <si>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</si>
  <si>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</si>
  <si>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</si>
  <si>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</si>
  <si>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</si>
  <si>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</si>
  <si>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</si>
  <si>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</si>
  <si>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</si>
  <si>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</si>
  <si>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</si>
  <si>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</si>
  <si>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</si>
  <si>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</si>
  <si>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</si>
  <si>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</si>
  <si>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</si>
  <si>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</si>
  <si>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</si>
  <si>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</si>
  <si>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</si>
  <si>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</si>
  <si>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</si>
  <si>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</si>
  <si>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</si>
  <si>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</si>
  <si>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</si>
  <si>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</si>
  <si>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</si>
  <si>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</si>
  <si>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</si>
  <si>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</si>
  <si>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</si>
  <si>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</si>
  <si>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</si>
  <si>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</si>
  <si>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</si>
  <si>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</si>
  <si>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</si>
  <si>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</si>
  <si>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</si>
  <si>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</si>
  <si>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</si>
  <si>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</si>
  <si>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</si>
  <si>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</si>
  <si>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</si>
  <si>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</si>
  <si>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</si>
  <si>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</si>
  <si>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</si>
  <si>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</si>
  <si>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</si>
  <si>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</si>
  <si>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</si>
  <si>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</si>
  <si>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</si>
  <si>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</si>
  <si>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</si>
  <si>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</si>
  <si>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</si>
  <si>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</si>
  <si>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</si>
  <si>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</si>
  <si>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</si>
  <si>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</si>
  <si>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</si>
  <si>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</si>
  <si>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</si>
  <si>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</si>
  <si>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</si>
  <si>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</si>
  <si>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</si>
  <si>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</si>
  <si>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</si>
  <si>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</si>
  <si>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</si>
  <si>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</si>
  <si>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</si>
  <si>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</si>
  <si>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</si>
  <si>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</si>
  <si>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</si>
  <si>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</si>
  <si>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</si>
  <si>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</si>
  <si>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</si>
  <si>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</si>
  <si>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</si>
  <si>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</si>
  <si>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</si>
  <si>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</si>
  <si>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</si>
  <si>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</si>
  <si>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</si>
  <si>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</si>
  <si>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</si>
  <si>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</si>
  <si>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</si>
  <si>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</si>
  <si>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</si>
  <si>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</si>
  <si>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</si>
  <si>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</si>
  <si>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</si>
  <si>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</si>
  <si>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</si>
  <si>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</si>
  <si>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</si>
  <si>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</si>
  <si>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</si>
  <si>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</si>
  <si>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</si>
  <si>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</si>
  <si>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</si>
  <si>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</si>
  <si>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</si>
  <si>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</si>
  <si>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</si>
  <si>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</si>
  <si>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</si>
  <si>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</si>
  <si>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</si>
  <si>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</si>
  <si>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</si>
  <si>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</si>
  <si>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</si>
  <si>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</si>
  <si>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</si>
  <si>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</si>
  <si>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</si>
  <si>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</si>
  <si>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</si>
  <si>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</si>
  <si>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</si>
  <si>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</si>
  <si>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</si>
  <si>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</si>
  <si>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</si>
  <si>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</si>
  <si>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</si>
  <si>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</si>
  <si>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</si>
  <si>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</si>
  <si>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</si>
  <si>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</si>
  <si>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</si>
  <si>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</si>
  <si>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</si>
  <si>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</si>
  <si>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</si>
  <si>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</si>
  <si>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</si>
  <si>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</si>
  <si>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</si>
  <si>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</si>
  <si>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</si>
  <si>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</si>
  <si>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</si>
  <si>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</si>
  <si>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</si>
  <si>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</si>
  <si>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</si>
  <si>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</si>
  <si>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</si>
  <si>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</si>
  <si>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</si>
  <si>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</si>
  <si>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</si>
  <si>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</si>
  <si>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</si>
  <si>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</si>
  <si>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</si>
  <si>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</si>
  <si>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</si>
  <si>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</si>
  <si>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</si>
  <si>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</si>
  <si>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</si>
  <si>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</si>
  <si>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</si>
  <si>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</si>
  <si>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</si>
  <si>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</si>
  <si>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</si>
  <si>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</si>
  <si>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</si>
  <si>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</si>
  <si>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</si>
  <si>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</si>
  <si>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</si>
  <si>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</si>
  <si>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</si>
  <si>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</si>
  <si>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</si>
  <si>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</si>
  <si>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</si>
  <si>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</si>
  <si>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</si>
  <si>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</si>
  <si>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</si>
  <si>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</si>
  <si>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</si>
  <si>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</si>
  <si>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</si>
  <si>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</si>
  <si>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</si>
  <si>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</si>
  <si>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</si>
  <si>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</si>
  <si>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</si>
  <si>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</si>
  <si>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</si>
  <si>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</si>
  <si>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</si>
  <si>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</si>
  <si>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</si>
  <si>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</si>
  <si>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</si>
  <si>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</si>
  <si>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</si>
  <si>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</si>
  <si>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</si>
  <si>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</si>
  <si>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</si>
  <si>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</si>
  <si>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</si>
  <si>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</si>
  <si>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</si>
  <si>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</si>
  <si>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</si>
  <si>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</si>
  <si>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</si>
  <si>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</si>
  <si>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</si>
  <si>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</si>
  <si>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</si>
  <si>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</si>
  <si>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</si>
  <si>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</si>
  <si>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</si>
  <si>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</si>
  <si>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</si>
  <si>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</si>
  <si>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</si>
  <si>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</si>
  <si>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</si>
  <si>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</si>
  <si>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</si>
  <si>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</si>
  <si>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</si>
  <si>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</si>
  <si>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</si>
  <si>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</si>
  <si>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</si>
  <si>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</si>
  <si>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</si>
  <si>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</si>
  <si>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</si>
  <si>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</si>
  <si>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</si>
  <si>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</si>
  <si>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</si>
  <si>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</si>
  <si>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</si>
  <si>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</si>
  <si>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</si>
  <si>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</si>
  <si>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</si>
  <si>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</si>
  <si>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</si>
  <si>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</si>
  <si>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</si>
  <si>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</si>
  <si>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</si>
  <si>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</si>
  <si>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</si>
  <si>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</si>
  <si>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</si>
  <si>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</si>
  <si>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</si>
  <si>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</si>
  <si>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</si>
  <si>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</si>
  <si>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</si>
  <si>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</si>
  <si>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</si>
  <si>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</si>
  <si>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</si>
  <si>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</si>
  <si>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</si>
  <si>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</si>
  <si>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</si>
  <si>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</si>
  <si>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</si>
  <si>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</si>
  <si>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</si>
  <si>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</si>
  <si>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</si>
  <si>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</si>
  <si>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</si>
  <si>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</si>
  <si>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</si>
  <si>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</si>
  <si>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</si>
  <si>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</si>
  <si>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</si>
  <si>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</si>
  <si>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</si>
  <si>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</si>
  <si>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</si>
  <si>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</si>
  <si>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</si>
  <si>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</si>
  <si>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</si>
  <si>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</si>
  <si>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</si>
  <si>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</si>
  <si>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</si>
  <si>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</si>
  <si>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</si>
  <si>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</si>
  <si>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</si>
  <si>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</si>
  <si>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</si>
  <si>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</si>
  <si>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</si>
  <si>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</si>
  <si>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</si>
  <si>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</si>
  <si>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</si>
  <si>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</si>
  <si>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</si>
  <si>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</si>
  <si>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</si>
  <si>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</si>
  <si>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</si>
  <si>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</si>
  <si>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</si>
  <si>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</si>
  <si>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</si>
  <si>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</si>
  <si>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</si>
  <si>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</si>
  <si>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</si>
  <si>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</si>
  <si>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</si>
  <si>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</si>
  <si>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</si>
  <si>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</si>
  <si>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</si>
  <si>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</si>
  <si>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</si>
  <si>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</si>
  <si>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</si>
  <si>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</si>
  <si>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</si>
  <si>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</si>
  <si>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</si>
  <si>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</si>
  <si>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</si>
  <si>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</si>
  <si>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</si>
  <si>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</si>
  <si>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</si>
  <si>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</si>
  <si>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</si>
  <si>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</si>
  <si>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</si>
  <si>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</si>
  <si>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</si>
  <si>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</si>
  <si>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</si>
  <si>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</si>
  <si>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</si>
  <si>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</si>
  <si>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</si>
  <si>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</si>
  <si>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</si>
  <si>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</si>
  <si>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</si>
  <si>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</si>
  <si>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</si>
  <si>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</si>
  <si>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</si>
  <si>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</si>
  <si>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</si>
  <si>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</si>
  <si>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</si>
  <si>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</si>
  <si>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</si>
  <si>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</si>
  <si>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</si>
  <si>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</si>
  <si>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</si>
  <si>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</si>
  <si>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</si>
  <si>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</si>
  <si>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</si>
  <si>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</si>
  <si>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</si>
  <si>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</si>
  <si>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</si>
  <si>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</si>
  <si>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</si>
  <si>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</si>
  <si>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</si>
  <si>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</si>
  <si>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</si>
  <si>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</si>
  <si>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</si>
  <si>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</si>
  <si>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</si>
  <si>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</si>
  <si>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</si>
  <si>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</si>
  <si>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</si>
  <si>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</si>
  <si>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</si>
  <si>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</si>
  <si>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</si>
  <si>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</si>
  <si>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</si>
  <si>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</si>
  <si>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</si>
  <si>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</si>
  <si>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</si>
  <si>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</si>
  <si>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</si>
  <si>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</si>
  <si>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</si>
  <si>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</si>
  <si>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</si>
  <si>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</si>
  <si>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</si>
  <si>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</si>
  <si>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</si>
  <si>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</si>
  <si>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</si>
  <si>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</si>
  <si>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</si>
  <si>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</si>
  <si>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</si>
  <si>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</si>
  <si>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</si>
  <si>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</si>
  <si>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</si>
  <si>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</si>
  <si>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</si>
  <si>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</si>
  <si>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</si>
  <si>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</si>
  <si>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</si>
  <si>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</si>
  <si>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</si>
  <si>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</si>
  <si>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</si>
  <si>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</si>
  <si>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</si>
  <si>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</si>
  <si>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</si>
  <si>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</si>
  <si>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</si>
  <si>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</si>
  <si>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</si>
  <si>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</si>
  <si>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</si>
  <si>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</si>
  <si>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</si>
  <si>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</si>
  <si>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</si>
  <si>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</si>
  <si>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</si>
  <si>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</si>
  <si>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</si>
  <si>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</si>
  <si>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</si>
  <si>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</si>
  <si>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</si>
  <si>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</si>
  <si>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</si>
  <si>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</si>
  <si>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</si>
  <si>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</si>
  <si>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</si>
  <si>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</si>
  <si>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</si>
  <si>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</si>
  <si>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</si>
  <si>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</si>
  <si>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</si>
  <si>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</si>
  <si>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</si>
  <si>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</si>
  <si>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</si>
  <si>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</si>
  <si>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</si>
  <si>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</si>
  <si>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</si>
  <si>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</si>
  <si>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</si>
  <si>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</si>
  <si>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</si>
  <si>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</si>
  <si>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</si>
  <si>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</si>
  <si>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</si>
  <si>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</si>
  <si>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</si>
  <si>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</si>
  <si>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</si>
  <si>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</si>
  <si>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</si>
  <si>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</si>
  <si>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</si>
  <si>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</si>
  <si>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</si>
  <si>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</si>
  <si>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</si>
  <si>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</si>
  <si>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</si>
  <si>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</si>
  <si>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</si>
  <si>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</si>
  <si>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</si>
  <si>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</si>
  <si>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</si>
  <si>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</si>
  <si>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</si>
  <si>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</si>
  <si>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</si>
  <si>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</si>
  <si>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</si>
  <si>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</si>
  <si>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</si>
  <si>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</si>
  <si>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</si>
  <si>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</si>
  <si>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</si>
  <si>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</si>
  <si>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</si>
  <si>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</si>
  <si>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</si>
  <si>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</si>
  <si>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</si>
  <si>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</si>
  <si>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</si>
  <si>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</si>
  <si>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</si>
  <si>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</si>
  <si>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</si>
  <si>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</si>
  <si>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</si>
  <si>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</si>
  <si>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</si>
  <si>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</si>
  <si>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</si>
  <si>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</si>
  <si>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</si>
  <si>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</si>
  <si>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</si>
  <si>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</si>
  <si>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</si>
  <si>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</si>
  <si>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</si>
  <si>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</si>
  <si>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</si>
  <si>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</si>
  <si>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</si>
  <si>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</si>
  <si>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</si>
  <si>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</si>
  <si>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</si>
  <si>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</si>
  <si>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</si>
  <si>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</si>
  <si>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</si>
  <si>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</si>
  <si>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</si>
  <si>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</si>
  <si>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</si>
  <si>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</si>
  <si>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</si>
  <si>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</si>
  <si>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</si>
  <si>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</si>
  <si>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</si>
  <si>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</si>
  <si>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</si>
  <si>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</si>
  <si>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</si>
  <si>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</si>
  <si>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</si>
  <si>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</si>
  <si>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</si>
  <si>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</si>
  <si>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</si>
  <si>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</si>
  <si>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</si>
  <si>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</si>
  <si>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</si>
  <si>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</si>
  <si>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</si>
  <si>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</si>
  <si>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</si>
  <si>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</si>
  <si>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</si>
  <si>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</si>
  <si>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</si>
  <si>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</si>
  <si>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</si>
  <si>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</si>
  <si>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</si>
  <si>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</si>
  <si>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</si>
  <si>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</si>
  <si>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</si>
  <si>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</si>
  <si>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</si>
  <si>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</si>
  <si>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</si>
  <si>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</si>
  <si>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</si>
  <si>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</si>
  <si>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</si>
  <si>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</si>
  <si>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</si>
  <si>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</si>
  <si>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</si>
  <si>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</si>
  <si>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</si>
  <si>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</si>
  <si>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</si>
  <si>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</si>
  <si>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</si>
  <si>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</si>
  <si>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</si>
  <si>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</si>
  <si>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</si>
  <si>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</si>
  <si>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</si>
  <si>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</si>
  <si>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</si>
  <si>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</si>
  <si>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</si>
  <si>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</si>
  <si>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</si>
  <si>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</si>
  <si>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</si>
  <si>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</si>
  <si>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</si>
  <si>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</si>
  <si>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</si>
  <si>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</si>
  <si>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</si>
  <si>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</si>
  <si>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</si>
  <si>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</si>
  <si>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</si>
  <si>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</si>
  <si>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</si>
  <si>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</si>
  <si>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</si>
  <si>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</si>
  <si>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</si>
  <si>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</si>
  <si>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</si>
  <si>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</si>
  <si>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</si>
  <si>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</si>
  <si>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</si>
  <si>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</si>
  <si>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</si>
  <si>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</si>
  <si>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</si>
  <si>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</si>
  <si>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</si>
  <si>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</si>
  <si>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</si>
  <si>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</si>
  <si>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</si>
  <si>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</si>
  <si>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</si>
  <si>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</si>
  <si>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</si>
  <si>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</si>
  <si>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</si>
  <si>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</si>
  <si>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</si>
  <si>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</si>
  <si>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</si>
  <si>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</si>
  <si>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</si>
  <si>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</si>
  <si>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</si>
  <si>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</si>
  <si>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</si>
  <si>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</si>
  <si>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</si>
  <si>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</si>
  <si>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</si>
  <si>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</si>
  <si>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</si>
  <si>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</si>
  <si>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</si>
  <si>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</si>
  <si>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</si>
  <si>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</si>
  <si>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</si>
  <si>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</si>
  <si>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</si>
  <si>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</si>
  <si>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</si>
  <si>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</si>
  <si>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</si>
  <si>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</si>
  <si>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</si>
  <si>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</si>
  <si>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</si>
  <si>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</si>
  <si>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</si>
  <si>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</si>
  <si>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</si>
  <si>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</si>
  <si>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</si>
  <si>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</si>
  <si>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</si>
  <si>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</si>
  <si>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</si>
  <si>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</si>
  <si>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</si>
  <si>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</si>
  <si>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</si>
  <si>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</si>
  <si>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</si>
  <si>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</si>
  <si>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</si>
  <si>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</si>
  <si>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</si>
  <si>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</si>
  <si>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</si>
  <si>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</si>
  <si>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</si>
  <si>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</si>
  <si>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</si>
  <si>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</si>
  <si>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</si>
  <si>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</si>
  <si>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</si>
  <si>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</si>
  <si>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</si>
  <si>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</si>
  <si>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</si>
  <si>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</si>
  <si>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</si>
  <si>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</si>
  <si>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</si>
  <si>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</si>
  <si>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</si>
  <si>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</si>
  <si>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</si>
  <si>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</si>
  <si>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</si>
  <si>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</si>
  <si>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</si>
  <si>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</si>
  <si>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</si>
  <si>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</si>
  <si>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</si>
  <si>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</si>
  <si>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</si>
  <si>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</si>
  <si>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</si>
  <si>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</si>
  <si>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</si>
  <si>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</si>
  <si>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</si>
  <si>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</si>
  <si>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</si>
  <si>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</si>
  <si>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</si>
  <si>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</si>
  <si>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</si>
  <si>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</si>
  <si>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</si>
  <si>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</si>
  <si>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</si>
  <si>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</si>
  <si>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</si>
  <si>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</si>
  <si>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</si>
  <si>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</si>
  <si>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</si>
  <si>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</si>
  <si>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</si>
  <si>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</si>
  <si>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</si>
  <si>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</si>
  <si>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</si>
  <si>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</si>
  <si>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</si>
  <si>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</si>
  <si>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</si>
  <si>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</si>
  <si>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</si>
  <si>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</si>
  <si>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</si>
  <si>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</si>
  <si>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</si>
  <si>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</si>
  <si>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</si>
  <si>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</si>
  <si>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</si>
  <si>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</si>
  <si>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</si>
  <si>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</si>
  <si>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</si>
  <si>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</si>
  <si>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</si>
  <si>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</si>
  <si>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</si>
  <si>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</si>
  <si>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</si>
  <si>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</si>
  <si>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</si>
  <si>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</si>
  <si>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</si>
  <si>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</si>
  <si>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</si>
  <si>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</si>
  <si>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</si>
  <si>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</si>
  <si>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</si>
  <si>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</si>
  <si>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</si>
  <si>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</si>
  <si>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</si>
  <si>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</si>
  <si>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</si>
  <si>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</si>
  <si>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</si>
  <si>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</si>
  <si>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</si>
  <si>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</si>
  <si>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</si>
  <si>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</si>
  <si>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</si>
  <si>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</si>
  <si>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</si>
  <si>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</si>
  <si>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</si>
  <si>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</si>
  <si>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</si>
  <si>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</si>
  <si>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</si>
  <si>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</si>
  <si>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</si>
  <si>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</si>
  <si>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</si>
  <si>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</si>
  <si>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</si>
  <si>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</si>
  <si>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</si>
  <si>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</si>
  <si>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</si>
  <si>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</si>
  <si>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</si>
  <si>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</si>
  <si>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</si>
  <si>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</si>
  <si>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</si>
  <si>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</si>
  <si>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</si>
  <si>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</si>
  <si>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</si>
  <si>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</si>
  <si>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</si>
  <si>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</si>
  <si>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</si>
  <si>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</si>
  <si>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</si>
  <si>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</si>
  <si>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</si>
  <si>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</si>
  <si>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</si>
  <si>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</si>
  <si>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</si>
  <si>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</si>
  <si>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</si>
  <si>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</si>
  <si>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</si>
  <si>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</si>
  <si>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</si>
  <si>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</si>
  <si>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</si>
  <si>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</si>
  <si>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</si>
  <si>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</si>
  <si>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</si>
  <si>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</si>
  <si>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</si>
  <si>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</si>
  <si>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</si>
  <si>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</si>
  <si>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</si>
  <si>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</si>
  <si>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</si>
  <si>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</si>
  <si>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</si>
  <si>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</si>
  <si>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</si>
  <si>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</si>
  <si>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</si>
  <si>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</si>
  <si>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</si>
  <si>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</si>
  <si>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</si>
  <si>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</si>
  <si>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</si>
  <si>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</si>
  <si>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</si>
  <si>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</si>
  <si>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</si>
  <si>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</si>
  <si>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</si>
  <si>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</si>
  <si>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</si>
  <si>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</si>
  <si>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</si>
  <si>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</si>
  <si>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</si>
  <si>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</si>
  <si>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</si>
  <si>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</si>
  <si>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</si>
  <si>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</si>
  <si>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</si>
  <si>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</si>
  <si>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</si>
  <si>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</si>
  <si>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</si>
  <si>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</si>
  <si>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</si>
  <si>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</si>
  <si>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</si>
  <si>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</si>
  <si>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</si>
  <si>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</si>
  <si>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</si>
  <si>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</si>
  <si>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</si>
  <si>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</si>
  <si>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</si>
  <si>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</si>
  <si>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</si>
  <si>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</si>
  <si>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</si>
  <si>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</si>
  <si>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</si>
  <si>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</si>
  <si>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</si>
  <si>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</si>
  <si>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</si>
  <si>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</si>
  <si>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</si>
  <si>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</si>
  <si>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</si>
  <si>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</si>
  <si>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</si>
  <si>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</si>
  <si>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</si>
  <si>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</si>
  <si>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</si>
  <si>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</si>
  <si>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</si>
  <si>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</si>
  <si>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</si>
  <si>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</si>
  <si>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</si>
  <si>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</si>
  <si>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</si>
  <si>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</si>
  <si>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</si>
  <si>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</si>
  <si>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</si>
  <si>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</si>
  <si>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</si>
  <si>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</si>
  <si>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</si>
  <si>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</si>
  <si>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</si>
  <si>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</si>
  <si>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</si>
  <si>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</si>
  <si>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</si>
  <si>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</si>
  <si>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</si>
  <si>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</si>
  <si>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</si>
  <si>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</si>
  <si>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</si>
  <si>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</si>
  <si>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</si>
  <si>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</si>
  <si>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</si>
  <si>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</si>
  <si>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</si>
  <si>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</si>
  <si>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</si>
  <si>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</si>
  <si>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</si>
  <si>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</si>
  <si>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</si>
  <si>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</si>
  <si>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</si>
  <si>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</si>
  <si>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</si>
  <si>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</si>
  <si>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</si>
  <si>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</si>
  <si>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</si>
  <si>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</si>
  <si>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</si>
  <si>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</si>
  <si>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</si>
  <si>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</si>
  <si>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</si>
  <si>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</si>
  <si>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</si>
  <si>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</si>
  <si>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</si>
  <si>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</si>
  <si>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</si>
  <si>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</si>
  <si>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</si>
  <si>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</si>
  <si>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</si>
  <si>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</si>
  <si>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</si>
  <si>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</si>
  <si>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</si>
  <si>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</si>
  <si>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</si>
  <si>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</si>
  <si>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</si>
  <si>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</si>
  <si>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</si>
  <si>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</si>
  <si>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</si>
  <si>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</si>
  <si>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</si>
  <si>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</si>
  <si>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</si>
  <si>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</si>
  <si>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</si>
  <si>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</si>
  <si>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</si>
  <si>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</si>
  <si>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</si>
  <si>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</si>
  <si>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</si>
  <si>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</si>
  <si>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</si>
  <si>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</si>
  <si>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</si>
  <si>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</si>
  <si>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</si>
  <si>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</si>
  <si>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</si>
  <si>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</si>
  <si>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</si>
  <si>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</si>
  <si>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</si>
  <si>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</si>
  <si>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</si>
  <si>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</si>
  <si>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</si>
  <si>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</si>
  <si>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</si>
  <si>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</si>
  <si>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</si>
  <si>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</si>
  <si>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</si>
  <si>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</si>
  <si>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</si>
  <si>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</si>
  <si>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</si>
  <si>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</si>
  <si>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</si>
  <si>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</si>
  <si>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</si>
  <si>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</si>
  <si>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</si>
  <si>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</si>
  <si>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</si>
  <si>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</si>
  <si>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</si>
  <si>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</si>
  <si>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</si>
  <si>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</si>
  <si>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</si>
  <si>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</si>
  <si>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</si>
  <si>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</si>
  <si>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</si>
  <si>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</si>
  <si>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</si>
  <si>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</si>
  <si>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</si>
  <si>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</si>
  <si>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</si>
  <si>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</si>
  <si>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</si>
  <si>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</si>
  <si>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</si>
  <si>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</si>
  <si>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</si>
  <si>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</si>
  <si>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</si>
  <si>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</si>
  <si>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</si>
  <si>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</si>
  <si>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</si>
  <si>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</si>
  <si>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</si>
  <si>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</si>
  <si>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</si>
  <si>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</si>
  <si>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</si>
  <si>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</si>
  <si>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</si>
  <si>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</si>
  <si>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</si>
  <si>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</si>
  <si>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</si>
  <si>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</si>
  <si>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</si>
  <si>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</si>
  <si>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</si>
  <si>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</si>
  <si>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</si>
  <si>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</si>
  <si>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</si>
  <si>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</si>
  <si>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</si>
  <si>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</si>
  <si>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</si>
  <si>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</si>
  <si>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</si>
  <si>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</si>
  <si>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</si>
  <si>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</si>
  <si>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</si>
  <si>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</si>
  <si>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</si>
  <si>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</si>
  <si>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</si>
  <si>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</si>
  <si>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</si>
  <si>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</si>
  <si>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</si>
  <si>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</si>
  <si>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</si>
  <si>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</si>
  <si>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</si>
  <si>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</si>
  <si>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</si>
  <si>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</si>
  <si>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</si>
  <si>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</si>
  <si>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</si>
  <si>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</si>
  <si>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</si>
  <si>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</si>
  <si>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</si>
  <si>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</si>
  <si>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</si>
  <si>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</si>
  <si>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</si>
  <si>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</si>
  <si>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</si>
  <si>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</si>
  <si>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</si>
  <si>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</si>
  <si>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</si>
  <si>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</si>
  <si>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</si>
  <si>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</si>
  <si>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</si>
  <si>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</si>
  <si>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</si>
  <si>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</si>
  <si>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</si>
  <si>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</si>
  <si>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</si>
  <si>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</si>
  <si>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</si>
  <si>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</si>
  <si>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</si>
  <si>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</si>
  <si>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</si>
  <si>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</si>
  <si>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</si>
  <si>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</si>
  <si>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</si>
  <si>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</si>
  <si>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</si>
  <si>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</si>
  <si>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</si>
  <si>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</si>
  <si>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</si>
  <si>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</si>
  <si>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</si>
  <si>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</si>
  <si>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</si>
  <si>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</si>
  <si>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</si>
  <si>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</si>
  <si>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</si>
  <si>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</si>
  <si>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</si>
  <si>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</si>
  <si>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</si>
  <si>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</si>
  <si>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</si>
  <si>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</si>
  <si>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</si>
  <si>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</si>
  <si>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</si>
  <si>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</si>
  <si>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</si>
  <si>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</si>
  <si>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</si>
  <si>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</si>
  <si>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</si>
  <si>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</si>
  <si>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</si>
  <si>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</si>
  <si>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</si>
  <si>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</si>
  <si>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</si>
  <si>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</si>
  <si>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</si>
  <si>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</si>
  <si>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</si>
  <si>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</si>
  <si>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</si>
  <si>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</si>
  <si>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</si>
  <si>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</si>
  <si>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</si>
  <si>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</si>
  <si>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</si>
  <si>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</si>
  <si>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</si>
  <si>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</si>
  <si>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</si>
  <si>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</si>
  <si>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</si>
  <si>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</si>
  <si>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</si>
  <si>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</si>
  <si>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</si>
  <si>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</si>
  <si>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</si>
  <si>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</si>
  <si>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</si>
  <si>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</si>
  <si>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</si>
  <si>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</si>
  <si>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</si>
  <si>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</si>
  <si>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</si>
  <si>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</si>
  <si>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</si>
  <si>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</si>
  <si>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</si>
  <si>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</si>
  <si>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</si>
  <si>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</si>
  <si>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</si>
  <si>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</si>
  <si>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</si>
  <si>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</si>
  <si>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</si>
  <si>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</si>
  <si>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</si>
  <si>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</si>
  <si>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</si>
  <si>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</si>
  <si>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</si>
  <si>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</si>
  <si>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</si>
  <si>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</si>
  <si>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</si>
  <si>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</si>
  <si>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</si>
  <si>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</si>
  <si>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</si>
  <si>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</si>
  <si>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</si>
  <si>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</si>
  <si>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</si>
  <si>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</si>
  <si>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</si>
  <si>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</si>
  <si>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</si>
  <si>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</si>
  <si>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</si>
  <si>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</si>
  <si>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</si>
  <si>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</si>
  <si>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</si>
  <si>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</si>
  <si>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</si>
  <si>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</si>
  <si>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</si>
  <si>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</si>
  <si>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</si>
  <si>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</si>
  <si>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</si>
  <si>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</si>
  <si>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</si>
  <si>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</si>
  <si>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</si>
  <si>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</si>
  <si>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</si>
  <si>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</si>
  <si>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</si>
  <si>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</si>
  <si>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</si>
  <si>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</si>
  <si>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</si>
  <si>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</si>
  <si>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</si>
  <si>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</si>
  <si>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</si>
  <si>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</si>
  <si>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</si>
  <si>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</si>
  <si>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</si>
  <si>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</si>
  <si>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</si>
  <si>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</si>
  <si>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</si>
  <si>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</si>
  <si>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</si>
  <si>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</si>
  <si>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</si>
  <si>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</si>
  <si>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</si>
  <si>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</si>
  <si>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</si>
  <si>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</si>
  <si>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</si>
  <si>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</si>
  <si>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</si>
  <si>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</si>
  <si>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</si>
  <si>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</si>
  <si>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</si>
  <si>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</si>
  <si>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</si>
  <si>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</si>
  <si>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</si>
  <si>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</si>
  <si>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</si>
  <si>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</si>
  <si>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</si>
  <si>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</si>
  <si>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</si>
  <si>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</si>
  <si>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</si>
  <si>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</si>
  <si>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</si>
  <si>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</si>
  <si>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</si>
  <si>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</si>
  <si>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</si>
  <si>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</si>
  <si>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</si>
  <si>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</si>
  <si>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</si>
  <si>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</si>
  <si>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</si>
  <si>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</si>
  <si>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</si>
  <si>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</si>
  <si>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</si>
  <si>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</si>
  <si>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</si>
  <si>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</si>
  <si>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</si>
  <si>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</si>
  <si>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</si>
  <si>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</si>
  <si>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</si>
  <si>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</si>
  <si>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</si>
  <si>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</si>
  <si>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</si>
  <si>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</si>
  <si>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</si>
  <si>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</si>
  <si>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</si>
  <si>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</si>
  <si>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</si>
  <si>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</si>
  <si>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</si>
  <si>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</si>
  <si>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</si>
  <si>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</si>
  <si>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</si>
  <si>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</si>
  <si>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</si>
  <si>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</si>
  <si>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</si>
  <si>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</si>
  <si>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</si>
  <si>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</si>
  <si>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</si>
  <si>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</si>
  <si>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</si>
  <si>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</si>
  <si>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</si>
  <si>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</si>
  <si>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</si>
  <si>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</si>
  <si>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</si>
  <si>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</si>
  <si>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</si>
  <si>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</si>
  <si>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</si>
  <si>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</si>
  <si>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</si>
  <si>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</si>
  <si>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</si>
  <si>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</si>
  <si>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</si>
  <si>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</si>
  <si>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</si>
  <si>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</si>
  <si>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</si>
  <si>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</si>
  <si>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</si>
  <si>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</si>
  <si>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</si>
  <si>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</si>
  <si>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</si>
  <si>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</si>
  <si>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</si>
  <si>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</si>
  <si>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</si>
  <si>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</si>
  <si>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</si>
  <si>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</si>
  <si>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</si>
  <si>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</si>
  <si>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</si>
  <si>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</si>
  <si>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</si>
  <si>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</si>
  <si>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</si>
  <si>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</si>
  <si>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</si>
  <si>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</si>
  <si>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</si>
  <si>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</si>
  <si>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</si>
  <si>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</si>
  <si>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</si>
  <si>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</si>
  <si>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</si>
  <si>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</si>
  <si>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</si>
  <si>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</si>
  <si>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</si>
  <si>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</si>
  <si>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</si>
  <si>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</si>
  <si>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</si>
  <si>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</si>
  <si>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</si>
  <si>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</si>
  <si>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</si>
  <si>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</si>
  <si>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</si>
  <si>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</si>
  <si>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</si>
  <si>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</si>
  <si>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</si>
  <si>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</si>
  <si>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</si>
  <si>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</si>
  <si>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</si>
  <si>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</si>
  <si>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</si>
  <si>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</si>
  <si>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</si>
  <si>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</si>
  <si>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</si>
  <si>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</si>
  <si>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</si>
  <si>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</si>
  <si>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</si>
  <si>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</si>
  <si>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</si>
  <si>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</si>
  <si>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</si>
  <si>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</si>
  <si>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</si>
  <si>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</si>
  <si>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</si>
  <si>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</si>
  <si>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</si>
  <si>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</si>
  <si>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</si>
  <si>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</si>
  <si>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</si>
  <si>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</si>
  <si>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</si>
  <si>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</si>
  <si>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</si>
  <si>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</si>
  <si>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</si>
  <si>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</si>
  <si>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</si>
  <si>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</si>
  <si>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</si>
  <si>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</si>
  <si>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</si>
  <si>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</si>
  <si>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</si>
  <si>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</si>
  <si>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</si>
  <si>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</si>
  <si>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</si>
  <si>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</si>
  <si>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</si>
  <si>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</si>
  <si>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</si>
  <si>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</si>
  <si>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</si>
  <si>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</si>
  <si>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</si>
  <si>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</si>
  <si>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</si>
  <si>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</si>
  <si>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</si>
  <si>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</si>
  <si>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</si>
  <si>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</si>
  <si>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</si>
  <si>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</si>
  <si>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</si>
  <si>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</si>
  <si>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</si>
  <si>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</si>
  <si>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</si>
  <si>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</si>
  <si>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</si>
  <si>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</si>
  <si>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</si>
  <si>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</si>
  <si>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</si>
  <si>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</si>
  <si>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</si>
  <si>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</si>
  <si>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</si>
  <si>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</si>
  <si>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</si>
  <si>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</si>
  <si>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</si>
  <si>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</si>
  <si>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</si>
  <si>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</si>
  <si>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</si>
  <si>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</si>
  <si>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</si>
  <si>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</si>
  <si>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</si>
  <si>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</si>
  <si>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</si>
  <si>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</si>
  <si>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</si>
  <si>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</si>
  <si>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</si>
  <si>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</si>
  <si>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</si>
  <si>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</si>
  <si>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</si>
  <si>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</si>
  <si>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</si>
  <si>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</si>
  <si>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</si>
  <si>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</si>
  <si>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</si>
  <si>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</si>
  <si>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</si>
  <si>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</si>
  <si>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</si>
  <si>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</si>
  <si>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</si>
  <si>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</si>
  <si>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</si>
  <si>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</si>
  <si>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</si>
  <si>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</si>
  <si>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</si>
  <si>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</si>
  <si>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</si>
  <si>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</si>
  <si>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</si>
  <si>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</si>
  <si>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</si>
  <si>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</si>
  <si>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</si>
  <si>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</si>
  <si>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</si>
  <si>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</si>
  <si>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</si>
  <si>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</si>
  <si>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</si>
  <si>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</si>
  <si>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</si>
  <si>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</si>
  <si>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</si>
  <si>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</si>
  <si>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</si>
  <si>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</si>
  <si>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</si>
  <si>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</si>
  <si>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</si>
  <si>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</si>
  <si>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</si>
  <si>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</si>
  <si>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</si>
  <si>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</si>
  <si>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</si>
  <si>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</si>
  <si>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</si>
  <si>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</si>
  <si>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</si>
  <si>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</si>
  <si>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</si>
  <si>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</si>
  <si>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</si>
  <si>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</si>
  <si>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</si>
  <si>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</si>
  <si>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</si>
  <si>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</si>
  <si>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</si>
  <si>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</si>
  <si>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</si>
  <si>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</si>
  <si>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</si>
  <si>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</si>
  <si>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</si>
  <si>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</si>
  <si>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</si>
  <si>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</si>
  <si>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</si>
  <si>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</si>
  <si>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</si>
  <si>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</si>
  <si>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</si>
  <si>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</si>
  <si>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</si>
  <si>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</si>
  <si>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</si>
  <si>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</si>
  <si>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</si>
  <si>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</si>
  <si>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</si>
  <si>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</si>
  <si>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</si>
  <si>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</si>
  <si>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</si>
  <si>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</si>
  <si>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</si>
  <si>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</si>
  <si>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</si>
  <si>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</si>
  <si>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</si>
  <si>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</si>
  <si>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</si>
  <si>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</si>
  <si>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</si>
  <si>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</si>
  <si>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</si>
  <si>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</si>
  <si>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</si>
  <si>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</si>
  <si>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</si>
  <si>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</si>
  <si>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</si>
  <si>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</si>
  <si>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</si>
  <si>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</si>
  <si>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</si>
  <si>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</si>
  <si>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</si>
  <si>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</si>
  <si>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</si>
  <si>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</si>
  <si>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</si>
  <si>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</si>
  <si>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</si>
  <si>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</si>
  <si>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</si>
  <si>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</si>
  <si>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</si>
  <si>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</si>
  <si>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</si>
  <si>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</si>
  <si>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</si>
  <si>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</si>
  <si>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</si>
  <si>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</si>
  <si>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</si>
  <si>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</si>
  <si>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</si>
  <si>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</si>
  <si>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</si>
  <si>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</si>
  <si>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</si>
  <si>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</si>
  <si>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</si>
  <si>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</si>
  <si>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</si>
  <si>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</si>
  <si>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</si>
  <si>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</si>
  <si>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</si>
  <si>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</si>
  <si>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</si>
  <si>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</si>
  <si>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</si>
  <si>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</si>
  <si>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</si>
  <si>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</si>
  <si>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</si>
  <si>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</si>
  <si>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</si>
  <si>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</si>
  <si>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</si>
  <si>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</si>
  <si>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</si>
  <si>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</si>
  <si>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</si>
  <si>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</si>
  <si>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</si>
  <si>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</si>
  <si>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</si>
  <si>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</si>
  <si>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</si>
  <si>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</si>
  <si>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</si>
  <si>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</si>
  <si>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</si>
  <si>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</si>
  <si>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</si>
  <si>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</si>
  <si>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</si>
  <si>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</si>
  <si>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</si>
  <si>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</si>
  <si>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</si>
  <si>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</si>
  <si>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</si>
  <si>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</si>
  <si>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</si>
  <si>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</si>
  <si>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</si>
  <si>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</si>
  <si>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</si>
  <si>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</si>
  <si>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</si>
  <si>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</si>
  <si>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</si>
  <si>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</si>
  <si>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</si>
  <si>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</si>
  <si>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</si>
  <si>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</si>
  <si>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</si>
  <si>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</si>
  <si>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</si>
  <si>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</si>
  <si>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</si>
  <si>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</si>
  <si>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</si>
  <si>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</si>
  <si>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</si>
  <si>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</si>
  <si>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</si>
  <si>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</si>
  <si>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</si>
  <si>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</si>
  <si>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</si>
  <si>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</si>
  <si>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</si>
  <si>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</si>
  <si>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</si>
  <si>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</si>
  <si>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</si>
  <si>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</si>
  <si>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</si>
  <si>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</si>
  <si>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</si>
  <si>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</si>
  <si>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</si>
  <si>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</si>
  <si>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</si>
  <si>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</si>
  <si>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</si>
  <si>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</si>
  <si>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</si>
  <si>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</si>
  <si>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</si>
  <si>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</si>
  <si>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</si>
  <si>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</si>
  <si>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</si>
  <si>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</si>
  <si>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</si>
  <si>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</si>
  <si>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</si>
  <si>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</si>
  <si>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</si>
  <si>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</si>
  <si>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</si>
  <si>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</si>
  <si>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</si>
  <si>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</si>
  <si>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</si>
  <si>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</si>
  <si>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</si>
  <si>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</si>
  <si>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</si>
  <si>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</si>
  <si>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</si>
  <si>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</si>
  <si>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</si>
  <si>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</si>
  <si>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</si>
  <si>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</si>
  <si>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</si>
  <si>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</si>
  <si>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</si>
  <si>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</si>
  <si>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</si>
  <si>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</si>
  <si>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</si>
  <si>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</si>
  <si>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</si>
  <si>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</si>
  <si>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</si>
  <si>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</si>
  <si>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</si>
  <si>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</si>
  <si>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</si>
  <si>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</si>
  <si>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</si>
  <si>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</si>
  <si>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</si>
  <si>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</si>
  <si>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</si>
  <si>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</si>
  <si>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</si>
  <si>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</si>
  <si>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</si>
  <si>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</si>
  <si>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</si>
  <si>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</si>
  <si>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</si>
  <si>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</si>
  <si>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</si>
  <si>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</si>
  <si>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</si>
  <si>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</si>
  <si>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</si>
  <si>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</si>
  <si>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</si>
  <si>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</si>
  <si>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</si>
  <si>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</si>
  <si>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</si>
  <si>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</si>
  <si>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</si>
  <si>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</si>
  <si>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</si>
  <si>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</si>
  <si>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</si>
  <si>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</si>
  <si>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</si>
  <si>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</si>
  <si>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</si>
  <si>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</si>
  <si>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</si>
  <si>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</si>
  <si>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</si>
  <si>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</si>
  <si>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</si>
  <si>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</si>
  <si>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</si>
  <si>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</si>
  <si>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</si>
  <si>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</si>
  <si>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</si>
  <si>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</si>
  <si>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</si>
  <si>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</si>
  <si>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</si>
  <si>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</si>
  <si>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</si>
  <si>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</si>
  <si>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</si>
  <si>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</si>
  <si>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</si>
  <si>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</si>
  <si>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</si>
  <si>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</si>
  <si>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</si>
  <si>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</si>
  <si>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</si>
  <si>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</si>
  <si>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</si>
  <si>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</si>
  <si>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</si>
  <si>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</si>
  <si>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</si>
  <si>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</si>
  <si>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</si>
  <si>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</si>
  <si>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</si>
  <si>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</si>
  <si>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</si>
  <si>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</si>
  <si>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</si>
  <si>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</si>
  <si>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</si>
  <si>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</si>
  <si>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</si>
  <si>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</si>
  <si>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</si>
  <si>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</si>
  <si>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</si>
  <si>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</si>
  <si>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</si>
  <si>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</si>
  <si>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</si>
  <si>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</si>
  <si>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</si>
  <si>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</si>
  <si>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</si>
  <si>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</si>
  <si>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</si>
  <si>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</si>
  <si>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</si>
  <si>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</si>
  <si>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</si>
  <si>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</si>
  <si>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</si>
  <si>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</si>
  <si>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</si>
  <si>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</si>
  <si>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</si>
  <si>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</si>
  <si>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</si>
  <si>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</si>
  <si>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</si>
  <si>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</si>
  <si>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</si>
  <si>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</si>
  <si>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</si>
  <si>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</si>
  <si>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</si>
  <si>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</si>
  <si>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</si>
  <si>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</si>
  <si>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</si>
  <si>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</si>
  <si>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</si>
  <si>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</si>
  <si>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</si>
  <si>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</si>
  <si>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</si>
  <si>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</si>
  <si>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</si>
  <si>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</si>
  <si>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</si>
  <si>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</si>
  <si>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</si>
  <si>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</si>
  <si>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</si>
  <si>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</si>
  <si>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</si>
  <si>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</si>
  <si>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</si>
  <si>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</si>
  <si>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</si>
  <si>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</si>
  <si>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</si>
  <si>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</si>
  <si>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</si>
  <si>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</si>
  <si>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</si>
  <si>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</si>
  <si>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</si>
  <si>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</si>
  <si>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</si>
  <si>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</si>
  <si>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</si>
  <si>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</si>
  <si>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</si>
  <si>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</si>
  <si>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</si>
  <si>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</si>
  <si>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</si>
  <si>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</si>
  <si>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</si>
  <si>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</si>
  <si>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</si>
  <si>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</si>
  <si>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</si>
  <si>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</si>
  <si>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</si>
  <si>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</si>
  <si>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</si>
  <si>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</si>
  <si>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</si>
  <si>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</si>
  <si>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</si>
  <si>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</si>
  <si>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</si>
  <si>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</si>
  <si>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</si>
  <si>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</si>
  <si>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</si>
  <si>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</si>
  <si>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</si>
  <si>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</si>
  <si>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</si>
  <si>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</si>
  <si>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</si>
  <si>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</si>
  <si>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</si>
  <si>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</si>
  <si>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</si>
  <si>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</si>
  <si>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</si>
  <si>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</si>
  <si>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</si>
  <si>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</si>
  <si>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</si>
  <si>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</si>
  <si>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</si>
  <si>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</si>
  <si>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</si>
  <si>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</si>
  <si>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</si>
  <si>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</si>
  <si>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</si>
  <si>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</si>
  <si>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</si>
  <si>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</si>
  <si>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</si>
  <si>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</si>
  <si>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</si>
  <si>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</si>
  <si>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</si>
  <si>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</si>
  <si>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</si>
  <si>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</si>
  <si>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</si>
  <si>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</si>
  <si>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</si>
  <si>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</si>
  <si>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</si>
  <si>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</si>
  <si>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</si>
  <si>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</si>
  <si>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</si>
  <si>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</si>
  <si>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</si>
  <si>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</si>
  <si>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</si>
  <si>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</si>
  <si>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</si>
  <si>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</si>
  <si>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</si>
  <si>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</si>
  <si>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</si>
  <si>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</si>
  <si>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</si>
  <si>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</si>
  <si>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</si>
  <si>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</si>
  <si>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</si>
  <si>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</si>
  <si>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</si>
  <si>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</si>
  <si>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</si>
  <si>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</si>
  <si>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</si>
  <si>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</si>
  <si>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</si>
  <si>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</si>
  <si>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</si>
  <si>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</si>
  <si>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</si>
  <si>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</si>
  <si>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</si>
  <si>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</si>
  <si>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</si>
  <si>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</si>
  <si>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</si>
  <si>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</si>
  <si>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</si>
  <si>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</si>
  <si>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</si>
  <si>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</si>
  <si>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</si>
  <si>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</si>
  <si>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</si>
  <si>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</si>
  <si>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</si>
  <si>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</si>
  <si>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</si>
  <si>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</si>
  <si>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</si>
  <si>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</si>
  <si>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</si>
  <si>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</si>
  <si>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</si>
  <si>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</si>
  <si>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</si>
  <si>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</si>
  <si>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</si>
  <si>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</si>
  <si>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</si>
  <si>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</si>
  <si>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</si>
  <si>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</si>
  <si>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</si>
  <si>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</si>
  <si>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</si>
  <si>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</si>
  <si>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</si>
  <si>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</si>
  <si>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</si>
  <si>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</si>
  <si>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</si>
  <si>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</si>
  <si>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</si>
  <si>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</si>
  <si>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</si>
  <si>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</si>
  <si>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</si>
  <si>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</si>
  <si>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</si>
  <si>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</si>
  <si>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</si>
  <si>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</si>
  <si>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</si>
  <si>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</si>
  <si>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</si>
  <si>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</si>
  <si>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</si>
  <si>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</si>
  <si>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</si>
  <si>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</si>
  <si>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</si>
  <si>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</si>
  <si>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</si>
  <si>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</si>
  <si>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</si>
  <si>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</si>
  <si>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</si>
  <si>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</si>
  <si>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</si>
  <si>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</si>
  <si>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</si>
  <si>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</si>
  <si>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</si>
  <si>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</si>
  <si>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</si>
  <si>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</si>
  <si>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</si>
  <si>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</si>
  <si>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</si>
  <si>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</si>
  <si>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</si>
  <si>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</si>
  <si>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</si>
  <si>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</si>
  <si>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</si>
  <si>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</si>
  <si>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</si>
  <si>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</si>
  <si>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</si>
  <si>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</si>
  <si>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</si>
  <si>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</si>
  <si>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</si>
  <si>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</si>
  <si>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</si>
  <si>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</si>
  <si>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</si>
  <si>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</si>
  <si>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</si>
  <si>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</si>
  <si>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</si>
  <si>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</si>
  <si>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</si>
  <si>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</si>
  <si>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</si>
  <si>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</si>
  <si>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</si>
  <si>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</si>
  <si>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</si>
  <si>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</si>
  <si>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</si>
  <si>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</si>
  <si>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</si>
  <si>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</si>
  <si>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</si>
  <si>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</si>
  <si>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</si>
  <si>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</si>
  <si>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</si>
  <si>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</si>
  <si>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</si>
  <si>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</si>
  <si>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</si>
  <si>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</si>
  <si>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</si>
  <si>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</si>
  <si>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</si>
  <si>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</si>
  <si>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</si>
  <si>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</si>
  <si>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</si>
  <si>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</si>
  <si>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</si>
  <si>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</si>
  <si>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</si>
  <si>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</si>
  <si>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</si>
  <si>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</si>
  <si>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</si>
  <si>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</si>
  <si>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</si>
  <si>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</si>
  <si>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</si>
  <si>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</si>
  <si>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</si>
  <si>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</si>
  <si>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</si>
  <si>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</si>
  <si>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</si>
  <si>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</si>
  <si>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</si>
  <si>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</si>
  <si>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</si>
  <si>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</si>
  <si>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</si>
  <si>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</si>
  <si>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</si>
  <si>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</si>
  <si>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</si>
  <si>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</si>
  <si>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</si>
  <si>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</si>
  <si>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</si>
  <si>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</si>
  <si>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</si>
  <si>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</si>
  <si>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</si>
  <si>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</si>
  <si>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</si>
  <si>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</si>
  <si>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</si>
  <si>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</si>
  <si>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</si>
  <si>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</si>
  <si>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</si>
  <si>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</si>
  <si>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</si>
  <si>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</si>
  <si>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</si>
  <si>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</si>
  <si>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</si>
  <si>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</si>
  <si>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</si>
  <si>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</si>
  <si>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</si>
  <si>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</si>
  <si>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</si>
  <si>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</si>
  <si>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</si>
  <si>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</si>
  <si>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</si>
  <si>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</si>
  <si>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</si>
  <si>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</si>
  <si>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</si>
  <si>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</si>
  <si>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</si>
  <si>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</si>
  <si>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</si>
  <si>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</si>
  <si>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</si>
  <si>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</si>
  <si>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</si>
  <si>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</si>
  <si>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</si>
  <si>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</si>
  <si>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</si>
  <si>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</si>
  <si>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</si>
  <si>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</si>
  <si>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</si>
  <si>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</si>
  <si>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</si>
  <si>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</si>
  <si>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</si>
  <si>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</si>
  <si>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</si>
  <si>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</si>
  <si>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</si>
  <si>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</si>
  <si>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</si>
  <si>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</si>
  <si>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</si>
  <si>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</si>
  <si>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</si>
  <si>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</si>
  <si>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</si>
  <si>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</si>
  <si>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</si>
  <si>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</si>
  <si>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</si>
  <si>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</si>
  <si>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</si>
  <si>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</si>
  <si>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</si>
  <si>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</si>
  <si>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</si>
  <si>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</si>
  <si>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</si>
  <si>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</si>
  <si>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</si>
  <si>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</si>
  <si>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</si>
  <si>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</si>
  <si>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</si>
  <si>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</si>
  <si>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</si>
  <si>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</si>
  <si>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</si>
  <si>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</si>
  <si>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</si>
  <si>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</si>
  <si>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</si>
  <si>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</si>
  <si>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</si>
  <si>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</si>
  <si>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</si>
  <si>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</si>
  <si>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</si>
  <si>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</si>
  <si>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</si>
  <si>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</si>
  <si>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</si>
  <si>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</si>
  <si>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</si>
  <si>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</si>
  <si>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</si>
  <si>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</si>
  <si>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</si>
  <si>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</si>
  <si>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</si>
  <si>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</si>
  <si>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</si>
  <si>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</si>
  <si>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</si>
  <si>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</si>
  <si>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</si>
  <si>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</si>
  <si>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</si>
  <si>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</si>
  <si>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</si>
  <si>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</si>
  <si>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</si>
  <si>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</si>
  <si>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</si>
  <si>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</si>
  <si>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</si>
  <si>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</si>
  <si>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</si>
  <si>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</si>
  <si>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</si>
  <si>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</si>
  <si>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</si>
  <si>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</si>
  <si>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</si>
  <si>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</si>
  <si>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</si>
  <si>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</si>
  <si>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</si>
  <si>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</si>
  <si>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</si>
  <si>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</si>
  <si>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</si>
  <si>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</si>
  <si>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</si>
  <si>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</si>
  <si>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</si>
  <si>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</si>
  <si>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</si>
  <si>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</si>
  <si>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</si>
  <si>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</si>
  <si>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</si>
  <si>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</si>
  <si>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</si>
  <si>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</si>
  <si>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</si>
  <si>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</si>
  <si>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</si>
  <si>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</si>
  <si>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</si>
  <si>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</si>
  <si>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</si>
  <si>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</si>
  <si>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</si>
  <si>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</si>
  <si>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</si>
  <si>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</si>
  <si>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</si>
  <si>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</si>
  <si>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</si>
  <si>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</si>
  <si>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</si>
  <si>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</si>
  <si>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</si>
  <si>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</si>
  <si>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</si>
  <si>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</si>
  <si>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</si>
  <si>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</si>
  <si>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</si>
  <si>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</si>
  <si>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</si>
  <si>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</si>
  <si>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</si>
  <si>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</si>
  <si>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</si>
  <si>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</si>
  <si>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</si>
  <si>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</si>
  <si>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</si>
  <si>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</si>
  <si>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</si>
  <si>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</si>
  <si>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</si>
  <si>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</si>
  <si>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</si>
  <si>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</si>
  <si>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</si>
  <si>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</si>
  <si>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</si>
  <si>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</si>
  <si>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</si>
  <si>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</si>
  <si>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</si>
  <si>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</si>
  <si>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</si>
  <si>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</si>
  <si>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</si>
  <si>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</si>
  <si>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</si>
  <si>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</si>
  <si>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</si>
  <si>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</si>
  <si>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</si>
  <si>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</si>
  <si>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</si>
  <si>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</si>
  <si>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</si>
  <si>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</si>
  <si>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</si>
  <si>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</si>
  <si>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</si>
  <si>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</si>
  <si>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</si>
  <si>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</si>
  <si>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</si>
  <si>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</si>
  <si>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</si>
  <si>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</si>
  <si>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</si>
  <si>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</si>
  <si>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</si>
  <si>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</si>
  <si>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</si>
  <si>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</si>
  <si>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</si>
  <si>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</si>
  <si>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</si>
  <si>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</si>
  <si>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</si>
  <si>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</si>
  <si>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</si>
  <si>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</si>
  <si>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</si>
  <si>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</si>
  <si>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</si>
  <si>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</si>
  <si>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</si>
  <si>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</si>
  <si>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</si>
  <si>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</si>
  <si>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</si>
  <si>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</si>
  <si>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</si>
  <si>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</si>
  <si>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</si>
  <si>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</si>
  <si>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</si>
  <si>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</si>
  <si>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</si>
  <si>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</si>
  <si>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</si>
  <si>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</si>
  <si>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</si>
  <si>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</si>
  <si>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</si>
  <si>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</si>
  <si>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</si>
  <si>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</si>
  <si>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</si>
  <si>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</si>
  <si>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</si>
  <si>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</si>
  <si>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</si>
  <si>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</si>
  <si>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</si>
  <si>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</si>
  <si>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</si>
  <si>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</si>
  <si>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</si>
  <si>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</si>
  <si>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</si>
  <si>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</si>
  <si>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</si>
  <si>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</si>
  <si>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</si>
  <si>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</si>
  <si>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</si>
  <si>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</si>
  <si>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</si>
  <si>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</si>
  <si>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</si>
  <si>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</si>
  <si>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</si>
  <si>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</si>
  <si>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</si>
  <si>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</si>
  <si>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</si>
  <si>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</si>
  <si>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</si>
  <si>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</si>
  <si>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</si>
  <si>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</si>
  <si>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</si>
  <si>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</si>
  <si>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</si>
  <si>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</si>
  <si>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</si>
  <si>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</si>
  <si>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</si>
  <si>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</si>
  <si>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</si>
  <si>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</si>
  <si>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</si>
  <si>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</si>
  <si>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</si>
  <si>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</si>
  <si>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</si>
  <si>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</si>
  <si>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</si>
  <si>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</si>
  <si>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</si>
  <si>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</si>
  <si>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</si>
  <si>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</si>
  <si>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</si>
  <si>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</si>
  <si>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</si>
  <si>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</si>
  <si>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</si>
  <si>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</si>
  <si>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</si>
  <si>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</si>
  <si>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</si>
  <si>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</si>
  <si>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</si>
  <si>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</si>
  <si>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</si>
  <si>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</si>
  <si>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</si>
  <si>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</si>
  <si>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</si>
  <si>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</si>
  <si>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</si>
  <si>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</si>
  <si>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</si>
  <si>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</si>
  <si>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</si>
  <si>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</si>
  <si>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</si>
  <si>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</si>
  <si>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</si>
  <si>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</si>
  <si>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</si>
  <si>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</si>
  <si>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</si>
  <si>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</si>
  <si>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</si>
  <si>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</si>
  <si>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</si>
  <si>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</si>
  <si>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</si>
  <si>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</si>
  <si>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</si>
  <si>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</si>
  <si>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</si>
  <si>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</si>
  <si>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</si>
  <si>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</si>
  <si>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</si>
  <si>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</si>
  <si>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</si>
  <si>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</si>
  <si>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</si>
  <si>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</si>
  <si>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</si>
  <si>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</si>
  <si>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</si>
  <si>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</si>
  <si>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</si>
  <si>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</si>
  <si>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</si>
  <si>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</si>
  <si>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</si>
  <si>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</si>
  <si>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</si>
  <si>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</si>
  <si>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</si>
  <si>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</si>
  <si>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</si>
  <si>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</si>
  <si>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</si>
  <si>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</si>
  <si>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</si>
  <si>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</si>
  <si>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</si>
  <si>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</si>
  <si>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</si>
  <si>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</si>
  <si>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</si>
  <si>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</si>
  <si>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</si>
  <si>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</si>
  <si>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</si>
  <si>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</si>
  <si>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</si>
  <si>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</si>
  <si>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</si>
  <si>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</si>
  <si>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</si>
  <si>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</si>
  <si>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</si>
  <si>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</si>
  <si>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</si>
  <si>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</si>
  <si>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</si>
  <si>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</si>
  <si>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</si>
  <si>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</si>
  <si>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</si>
  <si>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</si>
  <si>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</si>
  <si>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</si>
  <si>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</si>
  <si>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</si>
  <si>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</si>
  <si>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</si>
  <si>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</si>
  <si>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</si>
  <si>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</si>
  <si>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</si>
  <si>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</si>
  <si>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</si>
  <si>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</si>
  <si>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</si>
  <si>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</si>
  <si>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</si>
  <si>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</si>
  <si>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</si>
  <si>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</si>
  <si>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</si>
  <si>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</si>
  <si>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</si>
  <si>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</si>
  <si>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</si>
  <si>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</si>
  <si>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</si>
  <si>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</si>
  <si>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</si>
  <si>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</si>
  <si>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</si>
  <si>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</si>
  <si>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</si>
  <si>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</si>
  <si>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</si>
  <si>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</si>
  <si>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</si>
  <si>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</si>
  <si>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</si>
  <si>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</si>
  <si>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</si>
  <si>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</si>
  <si>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</si>
  <si>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</si>
  <si>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</si>
  <si>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</si>
  <si>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</si>
  <si>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</si>
  <si>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</si>
  <si>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</si>
  <si>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</si>
  <si>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</si>
  <si>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</si>
  <si>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</si>
  <si>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</si>
  <si>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</si>
  <si>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</si>
  <si>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</si>
  <si>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</si>
  <si>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</si>
  <si>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</si>
  <si>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</si>
  <si>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</si>
  <si>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</si>
  <si>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</si>
  <si>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</si>
  <si>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</si>
  <si>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</si>
  <si>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</si>
  <si>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</si>
  <si>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</si>
  <si>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</si>
  <si>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</si>
  <si>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</si>
  <si>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</si>
  <si>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</si>
  <si>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</si>
  <si>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</si>
  <si>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</si>
  <si>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</si>
  <si>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</si>
  <si>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</si>
  <si>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</si>
  <si>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</si>
  <si>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</si>
  <si>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</si>
  <si>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</si>
  <si>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</si>
  <si>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</si>
  <si>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</si>
  <si>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</si>
  <si>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</si>
  <si>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</si>
  <si>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</si>
  <si>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</si>
  <si>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</si>
  <si>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</si>
  <si>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</si>
  <si>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</si>
  <si>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</si>
  <si>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</si>
  <si>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</si>
  <si>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</si>
  <si>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</si>
  <si>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</si>
  <si>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</si>
  <si>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</si>
  <si>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</si>
  <si>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</si>
  <si>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</si>
  <si>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</si>
  <si>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</si>
  <si>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</si>
  <si>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</si>
  <si>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</si>
  <si>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</si>
  <si>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</si>
  <si>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</si>
  <si>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</si>
  <si>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</si>
  <si>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</si>
  <si>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</si>
  <si>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</si>
  <si>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</si>
  <si>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</si>
  <si>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</si>
  <si>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</si>
  <si>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</si>
  <si>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</si>
  <si>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</si>
  <si>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</si>
  <si>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</si>
  <si>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</si>
  <si>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</si>
  <si>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</si>
  <si>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</si>
  <si>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</si>
  <si>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</si>
  <si>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</si>
  <si>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</si>
  <si>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</si>
  <si>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</si>
  <si>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</si>
  <si>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</si>
  <si>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</si>
  <si>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</si>
  <si>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</si>
  <si>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</si>
  <si>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</si>
  <si>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</si>
  <si>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</si>
  <si>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</si>
  <si>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</si>
  <si>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</si>
  <si>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</si>
  <si>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</si>
  <si>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</si>
  <si>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</si>
  <si>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</si>
  <si>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</si>
  <si>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</si>
  <si>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</si>
  <si>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</si>
  <si>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</si>
  <si>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</si>
  <si>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</si>
  <si>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</si>
  <si>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</si>
  <si>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</si>
  <si>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</si>
  <si>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</si>
  <si>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</si>
  <si>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</si>
  <si>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</si>
  <si>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</si>
  <si>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</si>
  <si>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</si>
  <si>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</si>
  <si>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</si>
  <si>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</si>
  <si>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</si>
  <si>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</si>
  <si>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</si>
  <si>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</si>
  <si>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</si>
  <si>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</si>
  <si>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</si>
  <si>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</si>
  <si>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</si>
  <si>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</si>
  <si>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</si>
  <si>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</si>
  <si>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</si>
  <si>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</si>
  <si>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</si>
  <si>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</si>
  <si>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</si>
  <si>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</si>
  <si>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</si>
  <si>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</si>
  <si>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</si>
  <si>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</si>
  <si>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</si>
  <si>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</si>
  <si>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</si>
  <si>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</si>
  <si>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</si>
  <si>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</si>
  <si>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</si>
  <si>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</si>
  <si>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</si>
  <si>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</si>
  <si>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</si>
  <si>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</si>
  <si>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</si>
  <si>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</si>
  <si>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</si>
  <si>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</si>
  <si>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</si>
  <si>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</si>
  <si>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</si>
  <si>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</si>
  <si>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</si>
  <si>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</si>
  <si>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</si>
  <si>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</si>
  <si>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</si>
  <si>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</si>
  <si>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</si>
  <si>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</si>
  <si>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</si>
  <si>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</si>
  <si>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</si>
  <si>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</si>
  <si>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</si>
  <si>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</si>
  <si>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</si>
  <si>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</si>
  <si>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</si>
  <si>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</si>
  <si>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</si>
  <si>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</si>
  <si>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</si>
  <si>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</si>
  <si>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</si>
  <si>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</si>
  <si>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</si>
  <si>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</si>
  <si>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</si>
  <si>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</si>
  <si>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</si>
  <si>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</si>
  <si>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</si>
  <si>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</si>
  <si>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</si>
  <si>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</si>
  <si>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</si>
  <si>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</si>
  <si>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</si>
  <si>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</si>
  <si>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</si>
  <si>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</si>
  <si>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</si>
  <si>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</si>
  <si>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</si>
  <si>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</si>
  <si>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</si>
  <si>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</si>
  <si>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</si>
  <si>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</si>
  <si>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</si>
  <si>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</si>
  <si>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</si>
  <si>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</si>
  <si>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</si>
  <si>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</si>
  <si>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</si>
  <si>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</si>
  <si>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</si>
  <si>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</si>
  <si>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</si>
  <si>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</si>
  <si>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</si>
  <si>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</si>
  <si>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</si>
  <si>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</si>
  <si>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</si>
  <si>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</si>
  <si>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</si>
  <si>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</si>
  <si>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</si>
  <si>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</si>
  <si>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</si>
  <si>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</si>
  <si>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</si>
  <si>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</si>
  <si>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</si>
  <si>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</si>
  <si>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</si>
  <si>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</si>
  <si>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</si>
  <si>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</si>
  <si>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</si>
  <si>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</si>
  <si>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</si>
  <si>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</si>
  <si>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</si>
  <si>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</si>
  <si>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</si>
  <si>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</si>
  <si>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</si>
  <si>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</si>
  <si>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</si>
  <si>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</si>
  <si>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</si>
  <si>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</si>
  <si>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</si>
  <si>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</si>
  <si>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</si>
  <si>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</si>
  <si>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</si>
  <si>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</si>
  <si>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</si>
  <si>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</si>
  <si>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</si>
  <si>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</si>
  <si>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</si>
  <si>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</si>
  <si>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</si>
  <si>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</si>
  <si>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</si>
  <si>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</si>
  <si>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</si>
  <si>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</si>
  <si>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</si>
  <si>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</si>
  <si>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</si>
  <si>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</si>
  <si>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</si>
  <si>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</si>
  <si>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</si>
  <si>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</si>
  <si>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</si>
  <si>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</si>
  <si>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</si>
  <si>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</si>
  <si>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</si>
  <si>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</si>
  <si>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</si>
  <si>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</si>
  <si>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</si>
  <si>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</si>
  <si>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</si>
  <si>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</si>
  <si>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</si>
  <si>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</si>
  <si>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</si>
  <si>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</si>
  <si>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</si>
  <si>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</si>
  <si>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</si>
  <si>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</si>
  <si>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</si>
  <si>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</si>
  <si>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</si>
  <si>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</si>
  <si>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</si>
  <si>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</si>
  <si>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</si>
  <si>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</si>
  <si>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</si>
  <si>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</si>
  <si>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</si>
  <si>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</si>
  <si>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</si>
  <si>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</si>
  <si>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</si>
  <si>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</si>
  <si>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</si>
  <si>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</si>
  <si>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</si>
  <si>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</si>
  <si>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</si>
  <si>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</si>
  <si>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</si>
  <si>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</si>
  <si>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</si>
  <si>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</si>
  <si>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</si>
  <si>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</si>
  <si>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</si>
  <si>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</si>
  <si>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</si>
  <si>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</si>
  <si>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</si>
  <si>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</si>
  <si>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</si>
  <si>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</si>
  <si>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</si>
  <si>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</si>
  <si>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</si>
  <si>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</si>
  <si>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</si>
  <si>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</si>
  <si>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</si>
  <si>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</si>
  <si>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</si>
  <si>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</si>
  <si>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</si>
  <si>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</si>
  <si>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</si>
  <si>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</si>
  <si>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</si>
  <si>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</si>
  <si>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</si>
  <si>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</si>
  <si>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</si>
  <si>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</si>
  <si>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</si>
  <si>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</si>
  <si>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</si>
  <si>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</si>
  <si>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</si>
  <si>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</si>
  <si>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</si>
  <si>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</si>
  <si>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</si>
  <si>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</si>
  <si>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</si>
  <si>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</si>
  <si>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</si>
  <si>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</si>
  <si>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</si>
  <si>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</si>
  <si>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</si>
  <si>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</si>
  <si>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</si>
  <si>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</si>
  <si>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</si>
  <si>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</si>
  <si>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</si>
  <si>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</si>
  <si>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</si>
  <si>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</si>
  <si>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</si>
  <si>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</si>
  <si>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</si>
  <si>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</si>
  <si>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</si>
  <si>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</si>
  <si>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</si>
  <si>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</si>
  <si>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</si>
  <si>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</si>
  <si>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</si>
  <si>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</si>
  <si>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</si>
  <si>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</si>
  <si>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</si>
  <si>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</si>
  <si>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</si>
  <si>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</si>
  <si>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</si>
  <si>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</si>
  <si>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</si>
  <si>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</si>
  <si>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</si>
  <si>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</si>
  <si>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</si>
  <si>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</si>
  <si>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</si>
  <si>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</si>
  <si>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</si>
  <si>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</si>
  <si>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</si>
  <si>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</si>
  <si>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</si>
  <si>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</si>
  <si>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</si>
  <si>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</si>
  <si>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</si>
  <si>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</si>
  <si>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</si>
  <si>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</si>
  <si>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</si>
  <si>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</si>
  <si>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</si>
  <si>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</si>
  <si>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</si>
  <si>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</si>
  <si>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</si>
  <si>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</si>
  <si>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</si>
  <si>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</si>
  <si>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</si>
  <si>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</si>
  <si>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</si>
  <si>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</si>
  <si>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</si>
  <si>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</si>
  <si>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</si>
  <si>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</si>
  <si>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</si>
  <si>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</si>
  <si>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</si>
  <si>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</si>
  <si>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</si>
  <si>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</si>
  <si>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</si>
  <si>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</si>
  <si>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</si>
  <si>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</si>
  <si>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</si>
  <si>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</si>
  <si>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</si>
  <si>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</si>
  <si>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</si>
  <si>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</si>
  <si>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</si>
  <si>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</si>
  <si>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</si>
  <si>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</si>
  <si>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</si>
  <si>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</si>
  <si>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</si>
  <si>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</si>
  <si>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</si>
  <si>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</si>
  <si>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</si>
  <si>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</si>
  <si>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</si>
  <si>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</si>
  <si>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</si>
  <si>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</si>
  <si>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</si>
  <si>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</si>
  <si>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</si>
  <si>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</si>
  <si>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</si>
  <si>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</si>
  <si>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</si>
  <si>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</si>
  <si>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</si>
  <si>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</si>
  <si>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</si>
  <si>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</si>
  <si>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</si>
  <si>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</si>
  <si>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</si>
  <si>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</si>
  <si>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</si>
  <si>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</si>
  <si>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</si>
  <si>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</si>
  <si>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</si>
  <si>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</si>
  <si>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</si>
  <si>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</si>
  <si>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</si>
  <si>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</si>
  <si>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</si>
  <si>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</si>
  <si>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</si>
  <si>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</si>
  <si>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</si>
  <si>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</si>
  <si>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</si>
  <si>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</si>
  <si>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</si>
  <si>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</si>
  <si>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</si>
  <si>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</si>
  <si>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</si>
  <si>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</si>
  <si>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</si>
  <si>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</si>
  <si>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</si>
  <si>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</si>
  <si>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</si>
  <si>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</si>
  <si>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</si>
  <si>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</si>
  <si>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</si>
  <si>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</si>
  <si>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</si>
  <si>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</si>
  <si>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</si>
  <si>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</si>
  <si>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</si>
  <si>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</si>
  <si>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</si>
  <si>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</si>
  <si>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</si>
  <si>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</si>
  <si>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</si>
  <si>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</si>
  <si>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</si>
  <si>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</si>
  <si>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</si>
  <si>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</si>
  <si>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</si>
  <si>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</si>
  <si>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</si>
  <si>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</si>
  <si>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</si>
  <si>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</si>
  <si>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</si>
  <si>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</si>
  <si>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</si>
  <si>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</si>
  <si>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</si>
  <si>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</si>
  <si>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</si>
  <si>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</si>
  <si>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</si>
  <si>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</si>
  <si>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</si>
  <si>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</si>
  <si>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</si>
  <si>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</si>
  <si>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</si>
  <si>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</si>
  <si>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</si>
  <si>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</si>
  <si>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</si>
  <si>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</si>
  <si>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</si>
  <si>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</si>
  <si>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</si>
  <si>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</si>
  <si>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</si>
  <si>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</si>
  <si>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</si>
  <si>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</si>
  <si>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</si>
  <si>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</si>
  <si>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</si>
  <si>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</si>
  <si>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</si>
  <si>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</si>
  <si>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</si>
  <si>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</si>
  <si>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</si>
  <si>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</si>
  <si>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</si>
  <si>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</si>
  <si>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</si>
  <si>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</si>
  <si>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</si>
  <si>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</si>
  <si>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</si>
  <si>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</si>
  <si>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</si>
  <si>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</si>
  <si>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</si>
  <si>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</si>
  <si>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</si>
  <si>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</si>
  <si>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</si>
  <si>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</si>
  <si>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</si>
  <si>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</si>
  <si>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</si>
  <si>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</si>
  <si>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</si>
  <si>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</si>
  <si>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</si>
  <si>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</si>
  <si>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</si>
  <si>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</si>
  <si>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</si>
  <si>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</si>
  <si>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</si>
  <si>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</si>
  <si>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</si>
  <si>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</si>
  <si>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</si>
  <si>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</si>
  <si>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</si>
  <si>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</si>
  <si>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</si>
  <si>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</si>
  <si>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</si>
  <si>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</si>
  <si>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</si>
  <si>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</si>
  <si>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</si>
  <si>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</si>
  <si>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</si>
  <si>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</si>
  <si>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</si>
  <si>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</si>
  <si>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</si>
  <si>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</si>
  <si>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</si>
  <si>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</si>
  <si>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</si>
  <si>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</si>
  <si>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</si>
  <si>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</si>
  <si>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</si>
  <si>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</si>
  <si>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</si>
  <si>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</si>
  <si>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</si>
  <si>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</si>
  <si>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</si>
  <si>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</si>
  <si>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</si>
  <si>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</si>
  <si>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</si>
  <si>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</si>
  <si>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</si>
  <si>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</si>
  <si>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</si>
  <si>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</si>
  <si>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</si>
  <si>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</si>
  <si>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</si>
  <si>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</si>
  <si>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</si>
  <si>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</si>
  <si>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</si>
  <si>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</si>
  <si>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</si>
  <si>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</si>
  <si>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</si>
  <si>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</si>
  <si>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</si>
  <si>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</si>
  <si>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</si>
  <si>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</si>
  <si>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</si>
  <si>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</si>
  <si>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</si>
  <si>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</si>
  <si>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</si>
  <si>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</si>
  <si>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</si>
  <si>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</si>
  <si>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</si>
  <si>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</si>
  <si>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</si>
  <si>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</si>
  <si>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</si>
  <si>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</si>
  <si>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</si>
  <si>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</si>
  <si>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</si>
  <si>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</si>
  <si>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</si>
  <si>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</si>
  <si>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</si>
  <si>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</si>
  <si>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</si>
  <si>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</si>
  <si>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</si>
  <si>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</si>
  <si>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</si>
  <si>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</si>
  <si>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</si>
  <si>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</si>
  <si>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</si>
  <si>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</si>
  <si>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</si>
  <si>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</si>
  <si>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</si>
  <si>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</si>
  <si>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</si>
  <si>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</si>
  <si>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</si>
  <si>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</si>
  <si>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</si>
  <si>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</si>
  <si>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</si>
  <si>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</si>
  <si>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</si>
  <si>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</si>
  <si>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</si>
  <si>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</si>
  <si>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</si>
  <si>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</si>
  <si>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</si>
  <si>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</si>
  <si>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</si>
  <si>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</si>
  <si>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</si>
  <si>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</si>
  <si>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</si>
  <si>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</si>
  <si>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</si>
  <si>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</si>
  <si>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</si>
  <si>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</si>
  <si>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</si>
  <si>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</si>
  <si>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</si>
  <si>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</si>
  <si>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</si>
  <si>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</si>
  <si>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</si>
  <si>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</si>
  <si>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</si>
  <si>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</si>
  <si>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</si>
  <si>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</si>
  <si>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</si>
  <si>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</si>
  <si>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</si>
  <si>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</si>
  <si>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</si>
  <si>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</si>
  <si>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</si>
  <si>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</si>
  <si>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</si>
  <si>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</si>
  <si>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</si>
  <si>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</si>
  <si>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</si>
  <si>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</si>
  <si>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</si>
  <si>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</si>
  <si>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</si>
  <si>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</si>
  <si>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</si>
  <si>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</si>
  <si>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</si>
  <si>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</si>
  <si>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</si>
  <si>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</si>
  <si>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</si>
  <si>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</si>
  <si>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</si>
  <si>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</si>
  <si>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</si>
  <si>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</si>
  <si>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</si>
  <si>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</si>
  <si>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</si>
  <si>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</si>
  <si>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</si>
  <si>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</si>
  <si>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</si>
  <si>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</si>
  <si>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</si>
  <si>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</si>
  <si>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</si>
  <si>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</si>
  <si>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</si>
  <si>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</si>
  <si>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</si>
  <si>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</si>
  <si>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</si>
  <si>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</si>
  <si>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</si>
  <si>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</si>
  <si>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</si>
  <si>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</si>
  <si>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</si>
  <si>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</si>
  <si>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</si>
  <si>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</si>
  <si>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</si>
  <si>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</si>
  <si>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</si>
  <si>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</si>
  <si>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</si>
  <si>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</si>
  <si>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</si>
  <si>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</si>
  <si>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</si>
  <si>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</si>
  <si>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</si>
  <si>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</si>
  <si>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</si>
  <si>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</si>
  <si>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</si>
  <si>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</si>
  <si>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</si>
  <si>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</si>
  <si>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</si>
  <si>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</si>
  <si>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</si>
  <si>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</si>
  <si>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</si>
  <si>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</si>
  <si>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</si>
  <si>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</si>
  <si>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</si>
  <si>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</si>
  <si>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</si>
  <si>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</si>
  <si>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</si>
  <si>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</si>
  <si>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</si>
  <si>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</si>
  <si>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</si>
  <si>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</si>
  <si>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</si>
  <si>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</si>
  <si>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</si>
  <si>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</si>
  <si>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</si>
  <si>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</si>
  <si>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</si>
  <si>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</si>
  <si>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</si>
  <si>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</si>
  <si>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</si>
  <si>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</si>
  <si>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</si>
  <si>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</si>
  <si>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</si>
  <si>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</si>
  <si>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</si>
  <si>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</si>
  <si>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</si>
  <si>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</si>
  <si>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</si>
  <si>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</si>
  <si>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</si>
  <si>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</si>
  <si>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</si>
  <si>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</si>
  <si>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</si>
  <si>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</si>
  <si>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</si>
  <si>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</si>
  <si>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</si>
  <si>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</si>
  <si>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</si>
  <si>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</si>
  <si>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</si>
  <si>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</si>
  <si>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</si>
  <si>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</si>
  <si>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</si>
  <si>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</si>
  <si>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</si>
  <si>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</si>
  <si>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</si>
  <si>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</si>
  <si>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</si>
  <si>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</si>
  <si>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</si>
  <si>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</si>
  <si>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</si>
  <si>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</si>
  <si>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</si>
  <si>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</si>
  <si>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</si>
  <si>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</si>
  <si>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</si>
  <si>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</si>
  <si>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</si>
  <si>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</si>
  <si>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</si>
  <si>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</si>
  <si>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</si>
  <si>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</si>
  <si>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</si>
  <si>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</si>
  <si>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</si>
  <si>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</si>
  <si>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</si>
  <si>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</si>
  <si>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</si>
  <si>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</si>
  <si>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</si>
  <si>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</si>
  <si>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</si>
  <si>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</si>
  <si>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</si>
  <si>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</si>
  <si>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</si>
  <si>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</si>
  <si>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</si>
  <si>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</si>
  <si>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</si>
  <si>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</si>
  <si>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</si>
  <si>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</si>
  <si>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</si>
  <si>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</si>
  <si>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</si>
  <si>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</si>
  <si>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</si>
  <si>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</si>
  <si>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</si>
  <si>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</si>
  <si>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</si>
  <si>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</si>
  <si>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</si>
  <si>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</si>
  <si>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</si>
  <si>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</si>
  <si>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</si>
  <si>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</si>
  <si>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</si>
  <si>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</si>
  <si>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</si>
  <si>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</si>
  <si>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</si>
  <si>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</si>
  <si>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</si>
  <si>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</si>
  <si>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</si>
  <si>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</si>
  <si>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</si>
  <si>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</si>
  <si>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</si>
  <si>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</si>
  <si>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</si>
  <si>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</si>
  <si>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</si>
  <si>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</si>
  <si>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</si>
  <si>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</si>
  <si>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</si>
  <si>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</si>
  <si>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</si>
  <si>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</si>
  <si>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</si>
  <si>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</si>
  <si>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</si>
  <si>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</si>
  <si>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</si>
  <si>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</si>
  <si>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</si>
  <si>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</si>
  <si>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</si>
  <si>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</si>
  <si>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</si>
  <si>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</si>
  <si>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</si>
  <si>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</si>
  <si>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</si>
  <si>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</si>
  <si>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</si>
  <si>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</si>
  <si>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</si>
  <si>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</si>
  <si>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</si>
  <si>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</si>
  <si>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</si>
  <si>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</si>
  <si>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</si>
  <si>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</si>
  <si>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</si>
  <si>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</si>
  <si>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</si>
  <si>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</si>
  <si>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</si>
  <si>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</si>
  <si>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</si>
  <si>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</si>
  <si>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</si>
  <si>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</si>
  <si>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</si>
  <si>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</si>
  <si>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</si>
  <si>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</si>
  <si>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</si>
  <si>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</si>
  <si>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</si>
  <si>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</si>
  <si>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</si>
  <si>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</si>
  <si>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</si>
  <si>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</si>
  <si>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</si>
  <si>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</si>
  <si>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</si>
  <si>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</si>
  <si>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</si>
  <si>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</si>
  <si>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</si>
  <si>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</si>
  <si>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</si>
  <si>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</si>
  <si>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</si>
  <si>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</si>
  <si>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</si>
  <si>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</si>
  <si>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</si>
  <si>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</si>
  <si>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</si>
  <si>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</si>
  <si>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</si>
  <si>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</si>
  <si>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</si>
  <si>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</si>
  <si>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</si>
  <si>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</si>
  <si>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</si>
  <si>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</si>
  <si>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</si>
  <si>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</si>
  <si>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</si>
  <si>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</si>
  <si>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</si>
  <si>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</si>
  <si>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</si>
  <si>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</si>
  <si>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</si>
  <si>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</si>
  <si>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</si>
  <si>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</si>
  <si>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</si>
  <si>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</si>
  <si>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</si>
  <si>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</si>
  <si>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</si>
  <si>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</si>
  <si>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</si>
  <si>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</si>
  <si>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</si>
  <si>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</si>
  <si>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</si>
  <si>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</si>
  <si>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</si>
  <si>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</si>
  <si>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</si>
  <si>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</si>
  <si>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</si>
  <si>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</si>
  <si>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</si>
  <si>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</si>
  <si>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</si>
  <si>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</si>
  <si>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</si>
  <si>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</si>
  <si>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</si>
  <si>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</si>
  <si>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</si>
  <si>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</si>
  <si>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</si>
  <si>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</si>
  <si>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</si>
  <si>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</si>
  <si>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</si>
  <si>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</si>
  <si>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</si>
  <si>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</si>
  <si>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</si>
  <si>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</si>
  <si>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</si>
  <si>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</si>
  <si>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</si>
  <si>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</si>
  <si>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</si>
  <si>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</si>
  <si>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</si>
  <si>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</si>
  <si>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</si>
  <si>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</si>
  <si>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</si>
  <si>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</si>
  <si>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</si>
  <si>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</si>
  <si>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</si>
  <si>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</si>
  <si>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</si>
  <si>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</si>
  <si>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</si>
  <si>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</si>
  <si>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</si>
  <si>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</si>
  <si>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</si>
  <si>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</si>
  <si>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</si>
  <si>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</si>
  <si>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</si>
  <si>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</si>
  <si>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</si>
  <si>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</si>
  <si>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</si>
  <si>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</si>
  <si>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</si>
  <si>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</si>
  <si>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</si>
  <si>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</si>
  <si>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</si>
  <si>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</si>
  <si>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</si>
  <si>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</si>
  <si>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</si>
  <si>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</si>
  <si>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</si>
  <si>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</si>
  <si>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</si>
  <si>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</si>
  <si>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</si>
  <si>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</si>
  <si>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</si>
  <si>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</si>
  <si>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</si>
  <si>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</si>
  <si>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</si>
  <si>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</si>
  <si>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</si>
  <si>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</si>
  <si>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</si>
  <si>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</si>
  <si>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</si>
  <si>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</si>
  <si>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</si>
  <si>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</si>
  <si>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</si>
  <si>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</si>
  <si>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</si>
  <si>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</si>
  <si>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</si>
  <si>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</si>
  <si>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</si>
  <si>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</si>
  <si>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</si>
  <si>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</si>
  <si>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</si>
  <si>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</si>
  <si>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</si>
  <si>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</si>
  <si>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</si>
  <si>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</si>
  <si>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</si>
  <si>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</si>
  <si>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</si>
  <si>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</si>
  <si>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</si>
  <si>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</si>
  <si>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</si>
  <si>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</si>
  <si>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</si>
  <si>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</si>
  <si>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</si>
  <si>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</si>
  <si>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</si>
  <si>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</si>
  <si>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</si>
  <si>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</si>
  <si>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</si>
  <si>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</si>
  <si>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</si>
  <si>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</si>
  <si>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</si>
  <si>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</si>
  <si>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</si>
  <si>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</si>
  <si>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</si>
  <si>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</si>
  <si>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</si>
  <si>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</si>
  <si>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</si>
  <si>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</si>
  <si>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</si>
  <si>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</si>
  <si>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</si>
  <si>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</si>
  <si>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</si>
  <si>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</si>
  <si>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</si>
  <si>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</si>
  <si>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</si>
  <si>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</si>
  <si>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</si>
  <si>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</si>
  <si>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</si>
  <si>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</si>
  <si>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</si>
  <si>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</si>
  <si>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</si>
  <si>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</si>
  <si>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</si>
  <si>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</si>
  <si>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</si>
  <si>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</si>
  <si>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</si>
  <si>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</si>
  <si>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</si>
  <si>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</si>
  <si>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</si>
  <si>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</si>
  <si>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</si>
  <si>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</si>
  <si>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</si>
  <si>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</si>
  <si>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</si>
  <si>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</si>
  <si>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</si>
  <si>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</si>
  <si>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</si>
  <si>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</si>
  <si>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</si>
  <si>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</si>
  <si>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</si>
  <si>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</si>
  <si>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</si>
  <si>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</si>
  <si>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</si>
  <si>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</si>
  <si>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</si>
  <si>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</si>
  <si>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</si>
  <si>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</si>
  <si>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</si>
  <si>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</si>
  <si>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</si>
  <si>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</si>
  <si>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</si>
  <si>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</si>
  <si>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</si>
  <si>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</si>
  <si>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</si>
  <si>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</si>
  <si>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</si>
  <si>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</si>
  <si>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</si>
  <si>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</si>
  <si>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</si>
  <si>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</si>
  <si>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</si>
  <si>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</si>
  <si>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</si>
  <si>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</si>
  <si>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</si>
  <si>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</si>
  <si>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</si>
  <si>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</si>
  <si>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</si>
  <si>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</si>
  <si>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</si>
  <si>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</si>
  <si>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</si>
  <si>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</si>
  <si>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</si>
  <si>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</si>
  <si>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</si>
  <si>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</si>
  <si>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</si>
  <si>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</si>
  <si>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</si>
  <si>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</si>
  <si>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</si>
  <si>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</si>
  <si>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</si>
  <si>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</si>
  <si>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</si>
  <si>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</si>
  <si>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</si>
  <si>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</si>
  <si>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</si>
  <si>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</si>
  <si>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</si>
  <si>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</si>
  <si>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</si>
  <si>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</si>
  <si>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</si>
  <si>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</si>
  <si>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</si>
  <si>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</si>
  <si>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</si>
  <si>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</si>
  <si>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</si>
  <si>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</si>
  <si>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</si>
  <si>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</si>
  <si>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</si>
  <si>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</si>
  <si>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</si>
  <si>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</si>
  <si>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</si>
  <si>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</si>
  <si>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</si>
  <si>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</si>
  <si>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</si>
  <si>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</si>
  <si>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</si>
  <si>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</si>
  <si>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</si>
  <si>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</si>
  <si>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</si>
  <si>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</si>
  <si>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</si>
  <si>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</si>
  <si>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</si>
  <si>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</si>
  <si>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</si>
  <si>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</si>
  <si>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</si>
  <si>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</si>
  <si>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</si>
  <si>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</si>
  <si>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</si>
  <si>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</si>
  <si>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</si>
  <si>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</si>
  <si>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</si>
  <si>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</si>
  <si>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</si>
  <si>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</si>
  <si>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</si>
  <si>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</si>
  <si>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</si>
  <si>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</si>
  <si>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</si>
  <si>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</si>
  <si>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</si>
  <si>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</si>
  <si>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</si>
  <si>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</si>
  <si>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</si>
  <si>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</si>
  <si>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</si>
  <si>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</si>
  <si>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</si>
  <si>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</si>
  <si>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</si>
  <si>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</si>
  <si>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</si>
  <si>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</si>
  <si>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</si>
  <si>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</si>
  <si>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</si>
  <si>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</si>
  <si>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</si>
  <si>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</si>
  <si>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</si>
  <si>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</si>
  <si>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</si>
  <si>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</si>
  <si>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</si>
  <si>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</si>
  <si>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</si>
  <si>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</si>
  <si>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</si>
  <si>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</si>
  <si>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</si>
  <si>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</si>
  <si>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</si>
  <si>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</si>
  <si>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</si>
  <si>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</si>
  <si>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</si>
  <si>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</si>
  <si>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</si>
  <si>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</si>
  <si>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</si>
  <si>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</si>
  <si>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</si>
  <si>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</si>
  <si>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</si>
  <si>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</si>
  <si>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</si>
  <si>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</si>
  <si>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</si>
  <si>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</si>
  <si>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</si>
  <si>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</si>
  <si>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</si>
  <si>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</si>
  <si>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</si>
  <si>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</si>
  <si>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</si>
  <si>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</si>
  <si>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</si>
  <si>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</si>
  <si>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</si>
  <si>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</si>
  <si>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</si>
  <si>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</si>
  <si>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</si>
  <si>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</si>
  <si>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</si>
  <si>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</si>
  <si>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</si>
  <si>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</si>
  <si>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</si>
  <si>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</si>
  <si>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</si>
  <si>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</si>
  <si>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</si>
  <si>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</si>
  <si>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</si>
  <si>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</si>
  <si>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</si>
  <si>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</si>
  <si>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</si>
  <si>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</si>
  <si>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</si>
  <si>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</si>
  <si>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</si>
  <si>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</si>
  <si>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</si>
  <si>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</si>
  <si>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</si>
  <si>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</si>
  <si>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</si>
  <si>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</si>
  <si>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</si>
  <si>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</si>
  <si>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</si>
  <si>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</si>
  <si>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</si>
  <si>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</si>
  <si>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</si>
  <si>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</si>
  <si>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</si>
  <si>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</si>
  <si>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</si>
  <si>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</si>
  <si>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</si>
  <si>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</si>
  <si>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</si>
  <si>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</si>
  <si>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</si>
  <si>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</si>
  <si>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</si>
  <si>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</si>
  <si>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</si>
  <si>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</si>
  <si>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</si>
  <si>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</si>
  <si>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</si>
  <si>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</si>
  <si>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</si>
  <si>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</si>
  <si>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</si>
  <si>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</si>
  <si>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</si>
  <si>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</si>
  <si>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</si>
  <si>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</si>
  <si>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</si>
  <si>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</si>
  <si>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</si>
  <si>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</si>
  <si>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</si>
  <si>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</si>
  <si>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</si>
  <si>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</si>
  <si>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</si>
  <si>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</si>
  <si>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</si>
  <si>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</si>
  <si>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</si>
  <si>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</si>
  <si>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</si>
  <si>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</si>
  <si>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</si>
  <si>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</si>
  <si>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</si>
  <si>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</si>
  <si>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</si>
  <si>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</si>
  <si>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</si>
  <si>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</si>
  <si>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</si>
  <si>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</si>
  <si>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</si>
  <si>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</si>
  <si>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</si>
  <si>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</si>
  <si>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</si>
  <si>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</si>
  <si>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</si>
  <si>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</si>
  <si>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</si>
  <si>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</si>
  <si>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</si>
  <si>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</si>
  <si>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</si>
  <si>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</si>
  <si>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</si>
  <si>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</si>
  <si>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</si>
  <si>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</si>
  <si>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</si>
  <si>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</si>
  <si>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</si>
  <si>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</si>
  <si>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</si>
  <si>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</si>
  <si>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</si>
  <si>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</si>
  <si>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</si>
  <si>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</si>
  <si>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</si>
  <si>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</si>
  <si>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</si>
  <si>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</si>
  <si>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</si>
  <si>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</si>
  <si>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</si>
  <si>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</si>
  <si>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</si>
  <si>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</si>
  <si>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</si>
  <si>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</si>
  <si>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</si>
  <si>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</si>
  <si>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</si>
  <si>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</si>
  <si>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</si>
  <si>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</si>
  <si>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</si>
  <si>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</si>
  <si>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</si>
  <si>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</si>
  <si>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</si>
  <si>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</si>
  <si>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</si>
  <si>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</si>
  <si>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</si>
  <si>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</si>
  <si>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</si>
  <si>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</si>
  <si>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</si>
  <si>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</si>
  <si>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</si>
  <si>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</si>
  <si>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</si>
  <si>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</si>
  <si>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</si>
  <si>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</si>
  <si>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</si>
  <si>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</si>
  <si>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</si>
  <si>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</si>
  <si>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</si>
  <si>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</si>
  <si>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</si>
  <si>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</si>
  <si>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</si>
  <si>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</si>
  <si>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</si>
  <si>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</si>
  <si>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</si>
  <si>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</si>
  <si>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</si>
  <si>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</si>
  <si>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</si>
  <si>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</si>
  <si>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</si>
  <si>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</si>
  <si>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</si>
  <si>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</si>
  <si>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</si>
  <si>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</si>
  <si>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</si>
  <si>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</si>
  <si>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</si>
  <si>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</si>
  <si>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</si>
  <si>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</si>
  <si>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</si>
  <si>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</si>
  <si>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</si>
  <si>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</si>
  <si>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</si>
  <si>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</si>
  <si>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</si>
  <si>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</si>
  <si>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</si>
  <si>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</si>
  <si>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</si>
  <si>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</si>
  <si>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</si>
  <si>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</si>
  <si>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</si>
  <si>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</si>
  <si>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</si>
  <si>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</si>
  <si>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</si>
  <si>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</si>
  <si>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</si>
  <si>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</si>
  <si>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</si>
  <si>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</si>
  <si>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</si>
  <si>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</si>
  <si>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</si>
  <si>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</si>
  <si>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</si>
  <si>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</si>
  <si>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</si>
  <si>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</si>
  <si>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</si>
  <si>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</si>
  <si>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</si>
  <si>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</si>
  <si>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</si>
  <si>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</si>
  <si>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</si>
  <si>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</si>
  <si>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</si>
  <si>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</si>
  <si>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</si>
  <si>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</si>
  <si>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</si>
  <si>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</si>
  <si>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</si>
  <si>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</si>
  <si>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</si>
  <si>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</si>
  <si>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</si>
  <si>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</si>
  <si>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</si>
  <si>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</si>
  <si>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</si>
  <si>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</si>
  <si>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</si>
  <si>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</si>
  <si>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</si>
  <si>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</si>
  <si>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</si>
  <si>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</si>
  <si>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</si>
  <si>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</si>
  <si>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</si>
  <si>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</si>
  <si>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</si>
  <si>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</si>
  <si>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</si>
  <si>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</si>
  <si>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</si>
  <si>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</si>
  <si>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</si>
  <si>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</si>
  <si>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</si>
  <si>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</si>
  <si>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</si>
  <si>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</si>
  <si>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</si>
  <si>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</si>
  <si>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</si>
  <si>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</si>
  <si>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</si>
  <si>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</si>
  <si>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</si>
  <si>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</si>
  <si>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</si>
  <si>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</si>
  <si>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</si>
  <si>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</si>
  <si>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</si>
  <si>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</si>
  <si>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</si>
  <si>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</si>
  <si>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</si>
  <si>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</si>
  <si>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</si>
  <si>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</si>
  <si>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</si>
  <si>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</si>
  <si>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</si>
  <si>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</si>
  <si>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</si>
  <si>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</si>
  <si>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</si>
  <si>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</si>
  <si>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</si>
  <si>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</si>
  <si>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</si>
  <si>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</si>
  <si>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</si>
  <si>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</si>
  <si>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</si>
  <si>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</si>
  <si>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</si>
  <si>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</si>
  <si>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</si>
  <si>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</si>
  <si>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</si>
  <si>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</si>
  <si>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</si>
  <si>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</si>
  <si>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</si>
  <si>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</si>
  <si>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</si>
  <si>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</si>
  <si>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</si>
  <si>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</si>
  <si>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</si>
  <si>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</si>
  <si>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</si>
  <si>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</si>
  <si>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</si>
  <si>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</si>
  <si>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</si>
  <si>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</si>
  <si>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</si>
  <si>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</si>
  <si>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</si>
  <si>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</si>
  <si>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</si>
  <si>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</si>
  <si>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</si>
  <si>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</si>
  <si>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</si>
  <si>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</si>
  <si>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</si>
  <si>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</si>
  <si>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</si>
  <si>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</si>
  <si>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</si>
  <si>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</si>
  <si>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</si>
  <si>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</si>
  <si>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</si>
  <si>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</si>
  <si>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</si>
  <si>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</si>
  <si>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</si>
  <si>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</si>
  <si>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</si>
  <si>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</si>
  <si>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</si>
  <si>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</si>
  <si>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</si>
  <si>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</si>
  <si>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</si>
  <si>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</si>
  <si>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</si>
  <si>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</si>
  <si>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</si>
  <si>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</si>
  <si>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</si>
  <si>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</si>
  <si>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</si>
  <si>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</si>
  <si>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</si>
  <si>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</si>
  <si>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</si>
  <si>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</si>
  <si>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</si>
  <si>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</si>
  <si>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</si>
  <si>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</si>
  <si>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</si>
  <si>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</si>
  <si>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</si>
  <si>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</si>
  <si>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</si>
  <si>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</si>
  <si>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</si>
  <si>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</si>
  <si>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</si>
  <si>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</si>
  <si>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</si>
  <si>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</si>
  <si>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</si>
  <si>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</si>
  <si>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</si>
  <si>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</si>
  <si>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</si>
  <si>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</si>
  <si>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</si>
  <si>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</si>
  <si>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</si>
  <si>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</si>
  <si>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</si>
  <si>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</si>
  <si>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</si>
  <si>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</si>
  <si>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</si>
  <si>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</si>
  <si>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</si>
  <si>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</si>
  <si>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</si>
  <si>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</si>
  <si>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</si>
  <si>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</si>
  <si>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</si>
  <si>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</si>
  <si>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</si>
  <si>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</si>
  <si>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</si>
  <si>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</si>
  <si>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</si>
  <si>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</si>
  <si>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</si>
  <si>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</si>
  <si>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</si>
  <si>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</si>
  <si>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</si>
  <si>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</si>
  <si>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</si>
  <si>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</si>
  <si>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</si>
  <si>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</si>
  <si>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</si>
  <si>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</si>
  <si>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</si>
  <si>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</si>
  <si>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</si>
  <si>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</si>
  <si>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</si>
  <si>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</si>
  <si>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</si>
  <si>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</si>
  <si>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</si>
  <si>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</si>
  <si>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</si>
  <si>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</si>
  <si>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</si>
  <si>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</si>
  <si>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</si>
  <si>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</si>
  <si>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</si>
  <si>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</si>
  <si>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</si>
  <si>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</si>
  <si>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</si>
  <si>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</si>
  <si>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</si>
  <si>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</si>
  <si>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</si>
  <si>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</si>
  <si>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</si>
  <si>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</si>
  <si>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</si>
  <si>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</si>
  <si>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</si>
  <si>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</si>
  <si>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</si>
  <si>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</si>
  <si>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</si>
  <si>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</si>
  <si>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</si>
  <si>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</si>
  <si>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</si>
  <si>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</si>
  <si>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</si>
  <si>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</si>
  <si>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</si>
  <si>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</si>
  <si>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</si>
  <si>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</si>
  <si>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</si>
  <si>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</si>
  <si>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</si>
  <si>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</si>
  <si>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</si>
  <si>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</si>
  <si>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</si>
  <si>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</si>
  <si>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</si>
  <si>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</si>
  <si>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</si>
  <si>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</si>
  <si>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</si>
  <si>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</si>
  <si>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</si>
  <si>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</si>
  <si>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</si>
  <si>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</si>
  <si>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</si>
  <si>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</si>
  <si>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</si>
  <si>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</si>
  <si>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</si>
  <si>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</si>
  <si>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</si>
  <si>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</si>
  <si>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</si>
  <si>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</si>
  <si>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</si>
  <si>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</si>
  <si>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</si>
  <si>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</si>
  <si>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</si>
  <si>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</si>
  <si>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</si>
  <si>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</si>
  <si>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</si>
  <si>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</si>
  <si>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</si>
  <si>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</si>
  <si>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</si>
  <si>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</si>
  <si>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</si>
  <si>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</si>
  <si>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</si>
  <si>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</si>
  <si>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</si>
  <si>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</si>
  <si>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</si>
  <si>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</si>
  <si>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</si>
  <si>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</si>
  <si>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</si>
  <si>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</si>
  <si>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</si>
  <si>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</si>
  <si>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</si>
  <si>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</si>
  <si>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</si>
  <si>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</si>
  <si>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</si>
  <si>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</si>
  <si>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</si>
  <si>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</si>
  <si>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</si>
  <si>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</si>
  <si>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</si>
  <si>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</si>
  <si>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</si>
  <si>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</si>
  <si>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</si>
  <si>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</si>
  <si>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</si>
  <si>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</si>
  <si>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</si>
  <si>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</si>
  <si>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</si>
  <si>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</si>
  <si>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</si>
  <si>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</si>
  <si>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</si>
  <si>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</si>
  <si>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</si>
  <si>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</si>
  <si>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</si>
  <si>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</si>
  <si>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</si>
  <si>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</si>
  <si>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</si>
  <si>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</si>
  <si>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</si>
  <si>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</si>
  <si>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</si>
  <si>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</si>
  <si>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</si>
  <si>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</si>
  <si>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</si>
  <si>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</si>
  <si>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</si>
  <si>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</si>
  <si>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</si>
  <si>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</si>
  <si>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</si>
  <si>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</si>
  <si>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</si>
  <si>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</si>
  <si>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</si>
  <si>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</si>
  <si>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</si>
  <si>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</si>
  <si>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</si>
  <si>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</si>
  <si>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</si>
  <si>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</si>
  <si>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</si>
  <si>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</si>
  <si>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</si>
  <si>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</si>
  <si>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</si>
  <si>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</si>
  <si>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</si>
  <si>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</si>
  <si>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</si>
  <si>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</si>
  <si>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</si>
  <si>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</si>
  <si>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</si>
  <si>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</si>
  <si>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</si>
  <si>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</si>
  <si>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</si>
  <si>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</si>
  <si>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</si>
  <si>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</si>
  <si>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</si>
  <si>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</si>
  <si>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</si>
  <si>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</si>
  <si>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</si>
  <si>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</si>
  <si>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</si>
  <si>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</si>
  <si>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</si>
  <si>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</si>
  <si>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</si>
  <si>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</si>
  <si>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</si>
  <si>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</si>
  <si>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</si>
  <si>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</si>
  <si>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</si>
  <si>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</si>
  <si>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</si>
  <si>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</si>
  <si>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</si>
  <si>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</si>
  <si>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</si>
  <si>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</si>
  <si>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</si>
  <si>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</si>
  <si>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</si>
  <si>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</si>
  <si>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</si>
  <si>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</si>
  <si>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</si>
  <si>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</si>
  <si>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</si>
  <si>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</si>
  <si>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</si>
  <si>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</si>
  <si>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</si>
  <si>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</si>
  <si>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</si>
  <si>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</si>
  <si>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</si>
  <si>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</si>
  <si>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</si>
  <si>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</si>
  <si>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</si>
  <si>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</si>
  <si>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</si>
  <si>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</si>
  <si>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</si>
  <si>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</si>
  <si>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</si>
  <si>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</si>
  <si>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</si>
  <si>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</si>
  <si>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</si>
  <si>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</si>
  <si>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</si>
  <si>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</si>
  <si>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</si>
  <si>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</si>
  <si>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</si>
  <si>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</si>
  <si>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</si>
  <si>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</si>
  <si>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</si>
  <si>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</si>
  <si>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</si>
  <si>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</si>
  <si>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</si>
  <si>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</si>
  <si>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</si>
  <si>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</si>
  <si>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</si>
  <si>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</si>
  <si>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</si>
  <si>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</si>
  <si>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</si>
  <si>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</si>
  <si>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</si>
  <si>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</si>
  <si>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</si>
  <si>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</si>
  <si>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</si>
  <si>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</si>
  <si>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</si>
  <si>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</si>
  <si>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</si>
  <si>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</si>
  <si>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</si>
  <si>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</si>
  <si>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</si>
  <si>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</si>
  <si>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</si>
  <si>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</si>
  <si>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</si>
  <si>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</si>
  <si>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</si>
  <si>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</si>
  <si>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</si>
  <si>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</si>
  <si>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</si>
  <si>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</si>
  <si>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</si>
  <si>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</si>
  <si>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</si>
  <si>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</si>
  <si>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</si>
  <si>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</si>
  <si>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</si>
  <si>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</si>
  <si>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</si>
  <si>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</si>
  <si>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</si>
  <si>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</si>
  <si>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</si>
  <si>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</si>
  <si>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</si>
  <si>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</si>
  <si>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</si>
  <si>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</si>
  <si>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</si>
  <si>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</si>
  <si>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</si>
  <si>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</si>
  <si>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</si>
  <si>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</si>
  <si>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</si>
  <si>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</si>
  <si>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</si>
  <si>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</si>
  <si>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</si>
  <si>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</si>
  <si>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</si>
  <si>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</si>
  <si>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</si>
  <si>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</si>
  <si>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</si>
  <si>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</si>
  <si>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</si>
  <si>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</si>
  <si>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</si>
  <si>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</si>
  <si>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</si>
  <si>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</si>
  <si>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</si>
  <si>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</si>
  <si>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</si>
  <si>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</si>
  <si>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</si>
  <si>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</si>
  <si>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</si>
  <si>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</si>
  <si>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</si>
  <si>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</si>
  <si>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</si>
  <si>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</si>
  <si>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</si>
  <si>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</si>
  <si>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</si>
  <si>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</si>
  <si>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</si>
  <si>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</si>
  <si>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</si>
  <si>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</si>
  <si>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</si>
  <si>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</si>
  <si>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</si>
  <si>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</si>
  <si>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</si>
  <si>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</si>
  <si>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</si>
  <si>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</si>
  <si>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</si>
  <si>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</si>
  <si>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</si>
  <si>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</si>
  <si>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</si>
  <si>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</si>
  <si>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</si>
  <si>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</si>
  <si>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</si>
  <si>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</si>
  <si>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</si>
  <si>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</si>
  <si>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</si>
  <si>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</si>
  <si>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</si>
  <si>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</si>
  <si>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</si>
  <si>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</si>
  <si>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</si>
  <si>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</si>
  <si>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</si>
  <si>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</si>
  <si>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</si>
  <si>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</si>
  <si>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</si>
  <si>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</si>
  <si>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</si>
  <si>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</si>
  <si>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</si>
  <si>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</si>
  <si>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</si>
  <si>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</si>
  <si>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</si>
  <si>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</si>
  <si>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</si>
  <si>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</si>
  <si>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</si>
  <si>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</si>
  <si>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</si>
  <si>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</si>
  <si>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</si>
  <si>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</si>
  <si>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</si>
  <si>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</si>
  <si>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</si>
  <si>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</si>
  <si>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</si>
  <si>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</si>
  <si>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</si>
  <si>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</si>
  <si>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</si>
  <si>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</si>
  <si>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</si>
  <si>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</si>
  <si>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</si>
  <si>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</si>
  <si>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</si>
  <si>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</si>
  <si>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</si>
  <si>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</si>
  <si>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</si>
  <si>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</si>
  <si>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</si>
  <si>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</si>
  <si>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</si>
  <si>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</si>
  <si>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</si>
  <si>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</si>
  <si>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</si>
  <si>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</si>
  <si>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</si>
  <si>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</si>
  <si>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</si>
  <si>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</si>
  <si>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</si>
  <si>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</si>
  <si>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</si>
  <si>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</si>
  <si>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</si>
  <si>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</si>
  <si>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</si>
  <si>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</si>
  <si>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</si>
  <si>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</si>
  <si>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</si>
  <si>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</si>
  <si>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</si>
  <si>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</si>
  <si>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</si>
  <si>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</si>
  <si>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</si>
  <si>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</si>
  <si>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</si>
  <si>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</si>
  <si>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</si>
  <si>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</si>
  <si>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</si>
  <si>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</si>
  <si>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</si>
  <si>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</si>
  <si>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</si>
  <si>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</si>
  <si>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</si>
  <si>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</si>
  <si>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</si>
  <si>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</si>
  <si>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</si>
  <si>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</si>
  <si>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</si>
  <si>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</si>
  <si>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</si>
  <si>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</si>
  <si>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</si>
  <si>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</si>
  <si>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</si>
  <si>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</si>
  <si>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</si>
  <si>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</si>
  <si>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</si>
  <si>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</si>
  <si>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</si>
  <si>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</si>
  <si>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</si>
  <si>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</si>
  <si>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</si>
  <si>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</si>
  <si>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</si>
  <si>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</si>
  <si>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</si>
  <si>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</si>
  <si>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</si>
  <si>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</si>
  <si>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</si>
  <si>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</si>
  <si>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</si>
  <si>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</si>
  <si>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</si>
  <si>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</si>
  <si>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</si>
  <si>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</si>
  <si>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</si>
  <si>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</si>
  <si>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</si>
  <si>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</si>
  <si>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</si>
  <si>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</si>
  <si>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</si>
  <si>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</si>
  <si>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</si>
  <si>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</si>
  <si>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</si>
  <si>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</si>
  <si>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</si>
  <si>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</si>
  <si>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</si>
  <si>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</si>
  <si>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</si>
  <si>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</si>
  <si>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</si>
  <si>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</si>
  <si>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</si>
  <si>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</si>
  <si>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</si>
  <si>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</si>
  <si>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</si>
  <si>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</si>
  <si>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</si>
  <si>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</si>
  <si>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</si>
  <si>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</si>
  <si>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</si>
  <si>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</si>
  <si>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</si>
  <si>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</si>
  <si>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</si>
  <si>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</si>
  <si>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</si>
  <si>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</si>
  <si>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</si>
  <si>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</si>
  <si>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</si>
  <si>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</si>
  <si>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</si>
  <si>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</si>
  <si>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</si>
  <si>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</si>
  <si>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</si>
  <si>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</si>
  <si>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</si>
  <si>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</si>
  <si>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</si>
  <si>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</si>
  <si>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</si>
  <si>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</si>
  <si>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</si>
  <si>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</si>
  <si>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</si>
  <si>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</si>
  <si>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</si>
  <si>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</si>
  <si>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</si>
  <si>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</si>
  <si>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</si>
  <si>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</si>
  <si>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</si>
  <si>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</si>
  <si>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</si>
  <si>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</si>
  <si>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</si>
  <si>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</si>
  <si>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</si>
  <si>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</si>
  <si>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</si>
  <si>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</si>
  <si>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</si>
  <si>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</si>
  <si>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</si>
  <si>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</si>
  <si>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</si>
  <si>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</si>
  <si>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</si>
  <si>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</si>
  <si>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</si>
  <si>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</si>
  <si>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</si>
  <si>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</si>
  <si>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</si>
  <si>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</si>
  <si>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</si>
  <si>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</si>
  <si>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</si>
  <si>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</si>
  <si>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</si>
  <si>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</si>
  <si>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</si>
  <si>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</si>
  <si>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</si>
  <si>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</si>
  <si>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</si>
  <si>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</si>
  <si>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</si>
  <si>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</si>
  <si>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</si>
  <si>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</si>
  <si>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</si>
  <si>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</si>
  <si>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</si>
  <si>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</si>
  <si>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</si>
  <si>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</si>
  <si>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</si>
  <si>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</si>
  <si>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</si>
  <si>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</si>
  <si>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</si>
  <si>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</si>
  <si>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</si>
  <si>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</si>
  <si>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</si>
  <si>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</si>
  <si>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</si>
  <si>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</si>
  <si>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</si>
  <si>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</si>
  <si>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</si>
  <si>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</si>
  <si>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</si>
  <si>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</si>
  <si>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</si>
  <si>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</si>
  <si>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</si>
  <si>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</si>
  <si>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</si>
  <si>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</si>
  <si>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</si>
  <si>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</si>
  <si>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</si>
  <si>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</si>
  <si>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</si>
  <si>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</si>
  <si>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</si>
  <si>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</si>
  <si>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</si>
  <si>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</si>
  <si>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</si>
  <si>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</si>
  <si>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</si>
  <si>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</si>
  <si>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</si>
  <si>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</si>
  <si>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</si>
  <si>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</si>
  <si>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</si>
  <si>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</si>
  <si>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</si>
  <si>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</si>
  <si>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</si>
  <si>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</si>
  <si>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</si>
  <si>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</si>
  <si>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</si>
  <si>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</si>
  <si>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</si>
  <si>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</si>
  <si>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</si>
  <si>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</si>
  <si>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</si>
  <si>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</si>
  <si>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</si>
  <si>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</si>
  <si>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</si>
  <si>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</si>
  <si>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</si>
  <si>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</si>
  <si>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</si>
  <si>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</si>
  <si>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</si>
  <si>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</si>
  <si>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</si>
  <si>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</si>
  <si>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</si>
  <si>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</si>
  <si>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</si>
  <si>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</si>
  <si>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</si>
  <si>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</si>
  <si>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</si>
  <si>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</si>
  <si>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</si>
  <si>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</si>
  <si>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</si>
  <si>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</si>
  <si>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</si>
  <si>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</si>
  <si>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</si>
  <si>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</si>
  <si>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</si>
  <si>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</si>
  <si>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</si>
  <si>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</si>
  <si>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</si>
  <si>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</si>
  <si>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</si>
  <si>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</si>
  <si>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</si>
  <si>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</si>
  <si>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</si>
  <si>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</si>
  <si>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</si>
  <si>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</si>
  <si>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</si>
  <si>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</si>
  <si>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</si>
  <si>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</si>
  <si>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</si>
  <si>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</si>
  <si>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</si>
  <si>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</si>
  <si>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</si>
  <si>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</si>
  <si>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</si>
  <si>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</si>
  <si>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</si>
  <si>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</si>
  <si>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</si>
  <si>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</si>
  <si>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</si>
  <si>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</si>
  <si>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</si>
  <si>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</si>
  <si>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</si>
  <si>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</si>
  <si>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</si>
  <si>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</si>
  <si>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</si>
  <si>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</si>
  <si>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</si>
  <si>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</si>
  <si>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</si>
  <si>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</si>
  <si>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</si>
  <si>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</si>
  <si>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</si>
  <si>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</si>
  <si>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</si>
  <si>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</si>
  <si>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</si>
  <si>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</si>
  <si>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</si>
  <si>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</si>
  <si>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</si>
  <si>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</si>
  <si>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</si>
  <si>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</si>
  <si>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</si>
  <si>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</si>
  <si>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</si>
  <si>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</si>
  <si>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</si>
  <si>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</si>
  <si>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</si>
  <si>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</si>
  <si>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</si>
  <si>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</si>
  <si>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</si>
  <si>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</si>
  <si>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</si>
  <si>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</si>
  <si>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</si>
  <si>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</si>
  <si>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</si>
  <si>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</si>
  <si>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</si>
  <si>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</si>
  <si>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</si>
  <si>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</si>
  <si>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</si>
  <si>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</si>
  <si>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</si>
  <si>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</si>
  <si>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</si>
  <si>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</si>
  <si>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</si>
  <si>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</si>
  <si>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</si>
  <si>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</si>
  <si>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</si>
  <si>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</si>
  <si>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</si>
  <si>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</si>
  <si>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</si>
  <si>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</si>
  <si>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</si>
  <si>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</si>
  <si>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</si>
  <si>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</si>
  <si>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</si>
  <si>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</si>
  <si>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</si>
  <si>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</si>
  <si>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</si>
  <si>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</si>
  <si>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</si>
  <si>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</si>
  <si>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</si>
  <si>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</si>
  <si>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</si>
  <si>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</si>
  <si>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</si>
  <si>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</si>
  <si>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</si>
  <si>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</si>
  <si>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</si>
  <si>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</si>
  <si>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</si>
  <si>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</si>
  <si>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</si>
  <si>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</si>
  <si>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</si>
  <si>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</si>
  <si>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</si>
  <si>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</si>
  <si>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</si>
  <si>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</si>
  <si>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</si>
  <si>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</si>
  <si>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</si>
  <si>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</si>
  <si>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</si>
  <si>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</si>
  <si>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</si>
  <si>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</si>
  <si>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</si>
  <si>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</si>
  <si>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</si>
  <si>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</si>
  <si>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</si>
  <si>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</si>
  <si>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</si>
  <si>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</si>
  <si>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</si>
  <si>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</si>
  <si>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</si>
  <si>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</si>
  <si>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</si>
  <si>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</si>
  <si>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</si>
  <si>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</si>
  <si>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</si>
  <si>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</si>
  <si>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</si>
  <si>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</si>
  <si>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</si>
  <si>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</si>
  <si>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</si>
  <si>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</si>
  <si>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</si>
  <si>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</si>
  <si>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</si>
  <si>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</si>
  <si>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</si>
  <si>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</si>
  <si>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</si>
  <si>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</si>
  <si>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</si>
  <si>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</si>
  <si>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</si>
  <si>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</si>
  <si>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</si>
  <si>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</si>
  <si>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</si>
  <si>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</si>
  <si>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</si>
  <si>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</si>
  <si>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</si>
  <si>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</si>
  <si>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</si>
  <si>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</si>
  <si>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</si>
  <si>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</si>
  <si>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</si>
  <si>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</si>
  <si>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</si>
  <si>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</si>
  <si>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</si>
  <si>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</si>
  <si>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</si>
  <si>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</si>
  <si>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</si>
  <si>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</si>
  <si>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</si>
  <si>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</si>
  <si>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</si>
  <si>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</si>
  <si>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</si>
  <si>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</si>
  <si>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</si>
  <si>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</si>
  <si>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</si>
  <si>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</si>
  <si>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</si>
  <si>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</si>
  <si>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</si>
  <si>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</si>
  <si>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</si>
  <si>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</si>
  <si>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</si>
  <si>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</si>
  <si>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</si>
  <si>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</si>
  <si>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</si>
  <si>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</si>
  <si>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</si>
  <si>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</si>
  <si>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</si>
  <si>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</si>
  <si>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</si>
  <si>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</si>
  <si>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</si>
  <si>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</si>
  <si>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</si>
  <si>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</si>
  <si>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</si>
  <si>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</si>
  <si>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</si>
  <si>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</si>
  <si>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</si>
  <si>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</si>
  <si>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</si>
  <si>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</si>
  <si>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</si>
  <si>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</si>
  <si>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</si>
  <si>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</si>
  <si>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</si>
  <si>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</si>
  <si>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</si>
  <si>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</si>
  <si>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</si>
  <si>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</si>
  <si>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</si>
  <si>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</si>
  <si>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</si>
  <si>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</si>
  <si>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</si>
  <si>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</si>
  <si>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</si>
  <si>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</si>
  <si>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</si>
  <si>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</si>
  <si>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</si>
  <si>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</si>
  <si>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</si>
  <si>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</si>
  <si>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</si>
  <si>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</si>
  <si>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</si>
  <si>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</si>
  <si>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</si>
  <si>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</si>
  <si>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</si>
  <si>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</si>
  <si>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</si>
  <si>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</si>
  <si>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</si>
  <si>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</si>
  <si>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</si>
  <si>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</si>
  <si>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</si>
  <si>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</si>
  <si>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</si>
  <si>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</si>
  <si>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</si>
  <si>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</si>
  <si>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</si>
  <si>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</si>
  <si>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</si>
  <si>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</si>
  <si>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</si>
  <si>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</si>
  <si>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</si>
  <si>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</si>
  <si>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</si>
  <si>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</si>
  <si>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</si>
  <si>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</si>
  <si>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</si>
  <si>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</si>
  <si>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</si>
  <si>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</si>
  <si>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</si>
  <si>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</si>
  <si>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</si>
  <si>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</si>
  <si>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</si>
  <si>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</si>
  <si>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</si>
  <si>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</si>
  <si>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</si>
  <si>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</si>
  <si>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</si>
  <si>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</si>
  <si>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</si>
  <si>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</si>
  <si>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</si>
  <si>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</si>
  <si>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</si>
  <si>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</si>
  <si>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</si>
  <si>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</si>
  <si>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</si>
  <si>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</si>
  <si>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</si>
  <si>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</si>
  <si>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</si>
  <si>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</si>
  <si>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</si>
  <si>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</si>
  <si>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</si>
  <si>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</si>
  <si>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</si>
  <si>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</si>
  <si>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</si>
  <si>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</si>
  <si>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</si>
  <si>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</si>
  <si>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</si>
  <si>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</si>
  <si>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</si>
  <si>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</si>
  <si>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</si>
  <si>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</si>
  <si>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</si>
  <si>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</si>
  <si>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</si>
  <si>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</si>
  <si>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</si>
  <si>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</si>
  <si>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</si>
  <si>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</si>
  <si>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</si>
  <si>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</si>
  <si>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</si>
  <si>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</si>
  <si>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</si>
  <si>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</si>
  <si>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</si>
  <si>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</si>
  <si>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</si>
  <si>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</si>
  <si>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</si>
  <si>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</si>
  <si>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</si>
  <si>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</si>
  <si>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</si>
  <si>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</si>
  <si>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</si>
  <si>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</si>
  <si>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</si>
  <si>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</si>
  <si>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</si>
  <si>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</si>
  <si>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</si>
  <si>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</si>
  <si>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</si>
  <si>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</si>
  <si>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</si>
  <si>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</si>
  <si>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</si>
  <si>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</si>
  <si>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</si>
  <si>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</si>
  <si>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</si>
  <si>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</si>
  <si>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</si>
  <si>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</si>
  <si>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</si>
  <si>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</si>
  <si>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</si>
  <si>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</si>
  <si>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</si>
  <si>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</si>
  <si>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</si>
  <si>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</si>
  <si>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</si>
  <si>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</si>
  <si>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</si>
  <si>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</si>
  <si>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</si>
  <si>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</si>
  <si>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</si>
  <si>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</si>
  <si>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</si>
  <si>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</si>
  <si>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</si>
  <si>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</si>
  <si>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</si>
  <si>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</si>
  <si>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</si>
  <si>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</si>
  <si>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</si>
  <si>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</si>
  <si>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</si>
  <si>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</si>
  <si>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</si>
  <si>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</si>
  <si>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</si>
  <si>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</si>
  <si>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</si>
  <si>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</si>
  <si>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</si>
  <si>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</si>
  <si>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</si>
  <si>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</si>
  <si>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</si>
  <si>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</si>
  <si>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</si>
  <si>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</si>
  <si>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</si>
  <si>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</si>
  <si>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</si>
  <si>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</si>
  <si>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</si>
  <si>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</si>
  <si>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</si>
  <si>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</si>
  <si>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</si>
  <si>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</si>
  <si>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</si>
  <si>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</si>
  <si>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</si>
  <si>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</si>
  <si>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</si>
  <si>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</si>
  <si>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</si>
  <si>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</si>
  <si>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</si>
  <si>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</si>
  <si>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</si>
  <si>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</si>
  <si>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</si>
  <si>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</si>
  <si>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</si>
  <si>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</si>
  <si>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</si>
  <si>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</si>
  <si>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</si>
  <si>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</si>
  <si>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</si>
  <si>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</si>
  <si>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</si>
  <si>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</si>
  <si>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</si>
  <si>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</si>
  <si>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</si>
  <si>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</si>
  <si>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</si>
  <si>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</si>
  <si>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</si>
  <si>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</si>
  <si>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</si>
  <si>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</si>
  <si>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</si>
  <si>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</si>
  <si>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</si>
  <si>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</si>
  <si>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</si>
  <si>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</si>
  <si>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</si>
  <si>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</si>
  <si>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</si>
  <si>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</si>
  <si>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</si>
  <si>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</si>
  <si>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</si>
  <si>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</si>
  <si>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</si>
  <si>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</si>
  <si>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</si>
  <si>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</si>
  <si>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</si>
  <si>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</si>
  <si>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</si>
  <si>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</si>
  <si>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</si>
  <si>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</si>
  <si>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</si>
  <si>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</si>
  <si>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</si>
  <si>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</si>
  <si>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</si>
  <si>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</si>
  <si>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</si>
  <si>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</si>
  <si>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</si>
  <si>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</si>
  <si>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</si>
  <si>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</si>
  <si>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</si>
  <si>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</si>
  <si>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</si>
  <si>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</si>
  <si>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</si>
  <si>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</si>
  <si>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</si>
  <si>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</si>
  <si>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</si>
  <si>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</si>
  <si>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</si>
  <si>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</si>
  <si>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</si>
  <si>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</si>
  <si>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</si>
  <si>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</si>
  <si>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</si>
  <si>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</si>
  <si>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</si>
  <si>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</si>
  <si>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</si>
  <si>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</si>
  <si>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</si>
  <si>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</si>
  <si>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</si>
  <si>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</si>
  <si>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</si>
  <si>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</si>
  <si>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</si>
  <si>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</si>
  <si>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</si>
  <si>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</si>
  <si>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</si>
  <si>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</si>
  <si>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</si>
  <si>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</si>
  <si>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</si>
  <si>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</si>
  <si>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</si>
  <si>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</si>
  <si>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</si>
  <si>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</si>
  <si>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</si>
  <si>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</si>
  <si>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</si>
  <si>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</si>
  <si>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</si>
  <si>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</si>
  <si>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</si>
  <si>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</si>
  <si>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</si>
  <si>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</si>
  <si>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</si>
  <si>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</si>
  <si>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</si>
  <si>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</si>
  <si>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</si>
  <si>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</si>
  <si>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</si>
  <si>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</si>
  <si>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</si>
  <si>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</si>
  <si>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</si>
  <si>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</si>
  <si>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</si>
  <si>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</si>
  <si>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</si>
  <si>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</si>
  <si>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</si>
  <si>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</si>
  <si>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</si>
  <si>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</si>
  <si>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</si>
  <si>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</si>
  <si>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</si>
  <si>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</si>
  <si>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</si>
  <si>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</si>
  <si>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</si>
  <si>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</si>
  <si>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</si>
  <si>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</si>
  <si>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</si>
  <si>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</si>
  <si>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</si>
  <si>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</si>
  <si>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</si>
  <si>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</si>
  <si>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</si>
  <si>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</si>
  <si>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</si>
  <si>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</si>
  <si>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</si>
  <si>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</si>
  <si>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</si>
  <si>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</si>
  <si>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</si>
  <si>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</si>
  <si>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</si>
  <si>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</si>
  <si>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</si>
  <si>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</si>
  <si>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</si>
  <si>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</si>
  <si>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</si>
  <si>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</si>
  <si>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</si>
  <si>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</si>
  <si>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</si>
  <si>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</si>
  <si>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</si>
  <si>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</si>
  <si>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</si>
  <si>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</si>
  <si>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</si>
  <si>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</si>
  <si>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</si>
  <si>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</si>
  <si>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</si>
  <si>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</si>
  <si>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</si>
  <si>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</si>
  <si>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</si>
  <si>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</si>
  <si>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</si>
  <si>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</si>
  <si>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</si>
  <si>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</si>
  <si>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</si>
  <si>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</si>
  <si>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</si>
  <si>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</si>
  <si>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</si>
  <si>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</si>
  <si>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</si>
  <si>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</si>
  <si>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</si>
  <si>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</si>
  <si>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</si>
  <si>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</si>
  <si>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</si>
  <si>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</si>
  <si>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</si>
  <si>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</si>
  <si>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</si>
  <si>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</si>
  <si>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</si>
  <si>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</si>
  <si>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</si>
  <si>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</si>
  <si>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</si>
  <si>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</si>
  <si>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</si>
  <si>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</si>
  <si>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</si>
  <si>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</si>
  <si>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</si>
  <si>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</si>
  <si>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</si>
  <si>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</si>
  <si>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</si>
  <si>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</si>
  <si>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</si>
  <si>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</si>
  <si>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</si>
  <si>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</si>
  <si>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</si>
  <si>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</si>
  <si>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</si>
  <si>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</si>
  <si>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</si>
  <si>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</si>
  <si>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</si>
  <si>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</si>
  <si>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</si>
  <si>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</si>
  <si>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</si>
  <si>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</si>
  <si>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</si>
  <si>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</si>
  <si>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</si>
  <si>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</si>
  <si>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</si>
  <si>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</si>
  <si>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</si>
  <si>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</si>
  <si>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</si>
  <si>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</si>
  <si>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</si>
  <si>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</si>
  <si>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</si>
  <si>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</si>
  <si>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</si>
  <si>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</si>
  <si>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</si>
  <si>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</si>
  <si>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</si>
  <si>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</si>
  <si>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</si>
  <si>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</si>
  <si>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</si>
  <si>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</si>
  <si>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</si>
  <si>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</si>
  <si>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</si>
  <si>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</si>
  <si>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</si>
  <si>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</si>
  <si>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</si>
  <si>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</si>
  <si>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</si>
  <si>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</si>
  <si>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</si>
  <si>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</si>
  <si>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</si>
  <si>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</si>
  <si>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</si>
  <si>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</si>
  <si>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</si>
  <si>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</si>
  <si>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</si>
  <si>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</si>
  <si>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</si>
  <si>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</si>
  <si>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</si>
  <si>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</si>
  <si>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</si>
  <si>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</si>
  <si>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</si>
  <si>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</si>
  <si>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</si>
  <si>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</si>
  <si>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</si>
  <si>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</si>
  <si>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</si>
  <si>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</si>
  <si>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</si>
  <si>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</si>
  <si>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</si>
  <si>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</si>
  <si>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</si>
  <si>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</si>
  <si>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</si>
  <si>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</si>
  <si>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</si>
  <si>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</si>
  <si>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</si>
  <si>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</si>
  <si>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</si>
  <si>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</si>
  <si>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</si>
  <si>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</si>
  <si>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</si>
  <si>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</si>
  <si>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</si>
  <si>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</si>
  <si>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</si>
  <si>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</si>
  <si>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</si>
  <si>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</si>
  <si>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</si>
  <si>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</si>
  <si>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</si>
  <si>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</si>
  <si>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</si>
  <si>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</si>
  <si>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</si>
  <si>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</si>
  <si>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</si>
  <si>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</si>
  <si>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</si>
  <si>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</si>
  <si>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</si>
  <si>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</si>
  <si>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</si>
  <si>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</si>
  <si>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</si>
  <si>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</si>
  <si>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</si>
  <si>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</si>
  <si>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</si>
  <si>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</si>
  <si>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</si>
  <si>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</si>
  <si>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</si>
  <si>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</si>
  <si>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</si>
  <si>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</si>
  <si>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</si>
  <si>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</si>
  <si>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</si>
  <si>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</si>
  <si>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</si>
  <si>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</si>
  <si>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</si>
  <si>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</si>
  <si>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</si>
  <si>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</si>
  <si>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</si>
  <si>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</si>
  <si>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</si>
  <si>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</si>
  <si>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</si>
  <si>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</si>
  <si>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</si>
  <si>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</si>
  <si>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</si>
  <si>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</si>
  <si>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</si>
  <si>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</si>
  <si>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</si>
  <si>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</si>
  <si>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</si>
  <si>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</si>
  <si>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</si>
  <si>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</si>
  <si>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</si>
  <si>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</si>
  <si>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</si>
  <si>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</si>
  <si>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</si>
  <si>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</si>
  <si>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</si>
  <si>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</si>
  <si>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</si>
  <si>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</si>
  <si>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</si>
  <si>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</si>
  <si>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</si>
  <si>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</si>
  <si>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</si>
  <si>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</si>
  <si>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</si>
  <si>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</si>
  <si>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</si>
  <si>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</si>
  <si>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</si>
  <si>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</si>
  <si>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</si>
  <si>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</si>
  <si>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</si>
  <si>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</si>
  <si>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</si>
  <si>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</si>
  <si>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</si>
  <si>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</si>
  <si>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</si>
  <si>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</si>
  <si>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</si>
  <si>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</si>
  <si>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</si>
  <si>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</si>
  <si>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</si>
  <si>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</si>
  <si>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</si>
  <si>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</si>
  <si>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</si>
  <si>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</si>
  <si>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</si>
  <si>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</si>
  <si>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</si>
  <si>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</si>
  <si>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</si>
  <si>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</si>
  <si>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</si>
  <si>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</si>
  <si>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</si>
  <si>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</si>
  <si>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</si>
  <si>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</si>
  <si>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</si>
  <si>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</si>
  <si>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</si>
  <si>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</si>
  <si>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</si>
  <si>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</si>
  <si>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</si>
  <si>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</si>
  <si>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</si>
  <si>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</si>
  <si>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</si>
  <si>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</si>
  <si>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</si>
  <si>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</si>
  <si>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</si>
  <si>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</si>
  <si>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</si>
  <si>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</si>
  <si>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</si>
  <si>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</si>
  <si>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</si>
  <si>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</si>
  <si>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</si>
  <si>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</si>
  <si>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</si>
  <si>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</si>
  <si>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</si>
  <si>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</si>
  <si>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</si>
  <si>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</si>
  <si>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</si>
  <si>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</si>
  <si>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</si>
  <si>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</si>
  <si>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</si>
  <si>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</si>
  <si>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</si>
  <si>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</si>
  <si>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</si>
  <si>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</si>
  <si>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</si>
  <si>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</si>
  <si>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</si>
  <si>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</si>
  <si>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</si>
  <si>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</si>
  <si>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</si>
  <si>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</si>
  <si>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</si>
  <si>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</si>
  <si>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</si>
  <si>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</si>
  <si>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</si>
  <si>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</si>
  <si>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</si>
  <si>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</si>
  <si>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</si>
  <si>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</si>
  <si>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</si>
  <si>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</si>
  <si>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</si>
  <si>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</si>
  <si>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</si>
  <si>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</si>
  <si>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</si>
  <si>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</si>
  <si>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</si>
  <si>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</si>
  <si>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</si>
  <si>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</si>
  <si>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</si>
  <si>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</si>
  <si>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</si>
  <si>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</si>
  <si>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</si>
  <si>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</si>
  <si>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</si>
  <si>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</si>
  <si>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</si>
  <si>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</si>
  <si>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</si>
  <si>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</si>
  <si>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</si>
  <si>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</si>
  <si>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</si>
  <si>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</si>
  <si>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</si>
  <si>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</si>
  <si>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</si>
  <si>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</si>
  <si>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</si>
  <si>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</si>
  <si>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</si>
  <si>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</si>
  <si>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</si>
  <si>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</si>
  <si>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</si>
  <si>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</si>
  <si>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</si>
  <si>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</si>
  <si>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</si>
  <si>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</si>
  <si>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</si>
  <si>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</si>
  <si>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</si>
  <si>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</si>
  <si>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</si>
  <si>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</si>
  <si>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</si>
  <si>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</si>
  <si>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</si>
  <si>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</si>
  <si>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</si>
  <si>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</si>
  <si>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</si>
  <si>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</si>
  <si>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</si>
  <si>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</si>
  <si>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</si>
  <si>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</si>
  <si>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</si>
  <si>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</si>
  <si>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</si>
  <si>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</si>
  <si>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</si>
  <si>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</si>
  <si>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</si>
  <si>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</si>
  <si>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</si>
  <si>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</si>
  <si>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</si>
  <si>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</si>
  <si>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</si>
  <si>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</si>
  <si>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</si>
  <si>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</si>
  <si>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</si>
  <si>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</si>
  <si>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</si>
  <si>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</si>
  <si>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</si>
  <si>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</si>
  <si>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</si>
  <si>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</si>
  <si>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</si>
  <si>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</si>
  <si>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</si>
  <si>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</si>
  <si>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</si>
  <si>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</si>
  <si>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</si>
  <si>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</si>
  <si>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</si>
  <si>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</si>
  <si>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</si>
  <si>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</si>
  <si>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</si>
  <si>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</si>
  <si>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</si>
  <si>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</si>
  <si>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</si>
  <si>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</si>
  <si>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</si>
  <si>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</si>
  <si>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</si>
  <si>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</si>
  <si>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</si>
  <si>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</si>
  <si>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</si>
  <si>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</si>
  <si>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</si>
  <si>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</si>
  <si>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</si>
  <si>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</si>
  <si>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</si>
  <si>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</si>
  <si>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</si>
  <si>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</si>
  <si>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</si>
  <si>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</si>
  <si>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</si>
  <si>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</si>
  <si>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</si>
  <si>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</si>
  <si>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</si>
  <si>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</si>
  <si>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</si>
  <si>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</si>
  <si>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</si>
  <si>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</si>
  <si>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</si>
  <si>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</si>
  <si>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</si>
  <si>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</si>
  <si>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</si>
  <si>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</si>
  <si>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</si>
  <si>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</si>
  <si>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</si>
  <si>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</si>
  <si>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</si>
  <si>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</si>
  <si>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</si>
  <si>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</si>
  <si>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</si>
  <si>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</si>
  <si>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</si>
  <si>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</si>
  <si>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</si>
  <si>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</si>
  <si>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</si>
  <si>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</si>
  <si>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</si>
  <si>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</si>
  <si>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</si>
  <si>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</si>
  <si>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</si>
  <si>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</si>
  <si>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</si>
  <si>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</si>
  <si>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</si>
  <si>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</si>
  <si>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</si>
  <si>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</si>
  <si>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</si>
  <si>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</si>
  <si>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</si>
  <si>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</si>
  <si>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</si>
  <si>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</si>
  <si>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</si>
  <si>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</si>
  <si>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</si>
  <si>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</si>
  <si>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</si>
  <si>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</si>
  <si>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</si>
  <si>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</si>
  <si>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</si>
  <si>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</si>
  <si>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</si>
  <si>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</si>
  <si>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</si>
  <si>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</si>
  <si>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</si>
  <si>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</si>
  <si>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</si>
  <si>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</si>
  <si>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</si>
  <si>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</si>
  <si>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</si>
  <si>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</si>
  <si>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</si>
  <si>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</si>
  <si>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</si>
  <si>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</si>
  <si>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</si>
  <si>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</si>
  <si>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</si>
  <si>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</si>
  <si>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</si>
  <si>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</si>
  <si>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</si>
  <si>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</si>
  <si>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</si>
  <si>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</si>
  <si>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</si>
  <si>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</si>
  <si>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</si>
  <si>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</si>
  <si>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</si>
  <si>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</si>
  <si>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</si>
  <si>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</si>
  <si>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</si>
  <si>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</si>
  <si>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</si>
  <si>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</si>
  <si>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</si>
  <si>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</si>
  <si>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</si>
  <si>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</si>
  <si>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</si>
  <si>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</si>
  <si>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</si>
  <si>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</si>
  <si>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</si>
  <si>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</si>
  <si>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</si>
  <si>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</si>
  <si>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</si>
  <si>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</si>
  <si>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</si>
  <si>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</si>
  <si>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</si>
  <si>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</si>
  <si>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</si>
  <si>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</si>
  <si>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</si>
  <si>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</si>
  <si>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</si>
  <si>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</si>
  <si>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</si>
  <si>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</si>
  <si>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</si>
  <si>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</si>
  <si>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</si>
  <si>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</si>
  <si>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</si>
  <si>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</si>
  <si>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</si>
  <si>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</si>
  <si>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</si>
  <si>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</si>
  <si>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</si>
  <si>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</si>
  <si>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</si>
  <si>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</si>
  <si>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</si>
  <si>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</si>
  <si>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</si>
  <si>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</si>
  <si>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</si>
  <si>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</si>
  <si>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</si>
  <si>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</si>
  <si>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</si>
  <si>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</si>
  <si>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</si>
  <si>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</si>
  <si>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</si>
  <si>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</si>
  <si>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</si>
  <si>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</si>
  <si>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</si>
  <si>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</si>
  <si>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</si>
  <si>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</si>
  <si>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</si>
  <si>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</si>
  <si>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</si>
  <si>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</si>
  <si>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</si>
  <si>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</si>
  <si>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</si>
  <si>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</si>
  <si>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</si>
  <si>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</si>
  <si>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</si>
  <si>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</si>
  <si>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</si>
  <si>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</si>
  <si>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</si>
  <si>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</si>
  <si>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</si>
  <si>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</si>
  <si>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</si>
  <si>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</si>
  <si>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</si>
  <si>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</si>
  <si>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</si>
  <si>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</si>
  <si>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</si>
  <si>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</si>
  <si>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</si>
  <si>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</si>
  <si>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</si>
  <si>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</si>
  <si>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</si>
  <si>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</si>
  <si>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</si>
  <si>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</si>
  <si>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</si>
  <si>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</si>
  <si>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</si>
  <si>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</si>
  <si>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</si>
  <si>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</si>
  <si>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</si>
  <si>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</si>
  <si>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</si>
  <si>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</si>
  <si>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</si>
  <si>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</si>
  <si>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</si>
  <si>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</si>
  <si>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</si>
  <si>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</si>
  <si>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</si>
  <si>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</si>
  <si>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</si>
  <si>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</si>
  <si>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</si>
  <si>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</si>
  <si>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</si>
  <si>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</si>
  <si>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</si>
  <si>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</si>
  <si>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</si>
  <si>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</si>
  <si>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</si>
  <si>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</si>
  <si>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</si>
  <si>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</si>
  <si>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</si>
  <si>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</si>
  <si>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</si>
  <si>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</si>
  <si>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</si>
  <si>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</si>
  <si>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</si>
  <si>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</si>
  <si>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</si>
  <si>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</si>
  <si>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</si>
  <si>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</si>
  <si>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</si>
  <si>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</si>
  <si>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</si>
  <si>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</si>
  <si>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</si>
  <si>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</si>
  <si>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</si>
  <si>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</si>
  <si>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</si>
  <si>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</si>
  <si>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</si>
  <si>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</si>
  <si>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</si>
  <si>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</si>
  <si>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</si>
  <si>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</si>
  <si>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</si>
  <si>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</si>
  <si>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</si>
  <si>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</si>
  <si>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</si>
  <si>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</si>
  <si>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</si>
  <si>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</si>
  <si>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</si>
  <si>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</si>
  <si>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</si>
  <si>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</si>
  <si>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</si>
  <si>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</si>
  <si>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</si>
  <si>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</si>
  <si>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</si>
  <si>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</si>
  <si>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</si>
  <si>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</si>
  <si>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</si>
  <si>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</si>
  <si>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</si>
  <si>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</si>
  <si>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</si>
  <si>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</si>
  <si>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</si>
  <si>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</si>
  <si>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</si>
  <si>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</si>
  <si>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</si>
  <si>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</si>
  <si>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</si>
  <si>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</si>
  <si>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</si>
  <si>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</si>
  <si>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</si>
  <si>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</si>
  <si>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</si>
  <si>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</si>
  <si>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</si>
  <si>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</si>
  <si>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</si>
  <si>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</si>
  <si>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</si>
  <si>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</si>
  <si>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</si>
  <si>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</si>
  <si>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</si>
  <si>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</si>
  <si>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</si>
  <si>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</si>
  <si>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</si>
  <si>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</si>
  <si>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</si>
  <si>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</si>
  <si>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</si>
  <si>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</si>
  <si>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</si>
  <si>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</si>
  <si>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</si>
  <si>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</si>
  <si>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</si>
  <si>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</si>
  <si>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</si>
  <si>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</si>
  <si>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</si>
  <si>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</si>
  <si>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</si>
  <si>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</si>
  <si>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</si>
  <si>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</si>
  <si>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</si>
  <si>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</si>
  <si>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</si>
  <si>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</si>
  <si>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</si>
  <si>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</si>
  <si>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</si>
  <si>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</si>
  <si>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</si>
  <si>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</si>
  <si>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</si>
  <si>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</si>
  <si>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</si>
  <si>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</si>
  <si>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</si>
  <si>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</si>
  <si>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</si>
  <si>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</si>
  <si>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</si>
  <si>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</si>
  <si>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</si>
  <si>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</si>
  <si>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</si>
  <si>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</si>
  <si>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</si>
  <si>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</si>
  <si>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</si>
  <si>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</si>
  <si>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</si>
  <si>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</si>
  <si>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</si>
  <si>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</si>
  <si>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</si>
  <si>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</si>
  <si>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</si>
  <si>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</si>
  <si>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</si>
  <si>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</si>
  <si>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</si>
  <si>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</si>
  <si>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</si>
  <si>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</si>
  <si>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</si>
  <si>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</si>
  <si>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</si>
  <si>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</si>
  <si>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</si>
  <si>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</si>
  <si>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</si>
  <si>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</si>
  <si>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</si>
  <si>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</si>
  <si>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</si>
  <si>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</si>
  <si>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</si>
  <si>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</si>
  <si>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</si>
  <si>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</si>
  <si>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</si>
  <si>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</si>
  <si>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</si>
  <si>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</si>
  <si>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</si>
  <si>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</si>
  <si>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</si>
  <si>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</si>
  <si>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</si>
  <si>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</si>
  <si>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</si>
  <si>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</si>
  <si>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</si>
  <si>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</si>
  <si>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</si>
  <si>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</si>
  <si>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</si>
  <si>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</si>
  <si>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</si>
  <si>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</si>
  <si>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</si>
  <si>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</si>
  <si>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</si>
  <si>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</si>
  <si>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</si>
  <si>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</si>
  <si>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</si>
  <si>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</si>
  <si>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</si>
  <si>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</si>
  <si>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</si>
  <si>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</si>
  <si>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</si>
  <si>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</si>
  <si>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</si>
  <si>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</si>
  <si>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</si>
  <si>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</si>
  <si>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</si>
  <si>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</si>
  <si>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</si>
  <si>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</si>
  <si>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</si>
  <si>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</si>
  <si>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</si>
  <si>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</si>
  <si>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</si>
  <si>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</si>
  <si>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</si>
  <si>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</si>
  <si>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</si>
  <si>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</si>
  <si>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</si>
  <si>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</si>
  <si>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</si>
  <si>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</si>
  <si>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</si>
  <si>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</si>
  <si>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</si>
  <si>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</si>
  <si>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</si>
  <si>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</si>
  <si>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</si>
  <si>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</si>
  <si>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</si>
  <si>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</si>
  <si>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</si>
  <si>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</si>
  <si>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</si>
  <si>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</si>
  <si>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</si>
  <si>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</si>
  <si>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</si>
  <si>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</si>
  <si>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</si>
  <si>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</si>
  <si>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</si>
  <si>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</si>
  <si>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</si>
  <si>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</si>
  <si>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</si>
  <si>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</si>
  <si>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</si>
  <si>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</si>
  <si>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</si>
  <si>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</si>
  <si>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</si>
  <si>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</si>
  <si>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</si>
  <si>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</si>
  <si>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</si>
  <si>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</si>
  <si>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</si>
  <si>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</si>
  <si>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</si>
  <si>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</si>
  <si>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</si>
  <si>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</si>
  <si>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</si>
  <si>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</si>
  <si>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</si>
  <si>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</si>
  <si>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</si>
  <si>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</si>
  <si>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</si>
  <si>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</si>
  <si>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</si>
  <si>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</si>
  <si>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</si>
  <si>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</si>
  <si>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</si>
  <si>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</si>
  <si>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</si>
  <si>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</si>
  <si>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</si>
  <si>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</si>
  <si>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</si>
  <si>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</si>
  <si>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</si>
  <si>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</si>
  <si>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</si>
  <si>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</si>
  <si>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</si>
  <si>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</si>
  <si>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</si>
  <si>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</si>
  <si>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</si>
  <si>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</si>
  <si>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</si>
  <si>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</si>
  <si>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</si>
  <si>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</si>
  <si>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</si>
  <si>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</si>
  <si>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</si>
  <si>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</si>
  <si>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</si>
  <si>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</si>
  <si>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</si>
  <si>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</si>
  <si>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</si>
  <si>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</si>
  <si>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</si>
  <si>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</si>
  <si>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</si>
  <si>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</si>
  <si>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</si>
  <si>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</si>
  <si>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</si>
  <si>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</si>
  <si>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</si>
  <si>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</si>
  <si>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</si>
  <si>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</si>
  <si>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</si>
  <si>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</si>
  <si>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</si>
  <si>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</si>
  <si>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</si>
  <si>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</si>
  <si>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</si>
  <si>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</si>
  <si>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</si>
  <si>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</si>
  <si>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</si>
  <si>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</si>
  <si>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</si>
  <si>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</si>
  <si>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</si>
  <si>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</si>
  <si>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</si>
  <si>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</si>
  <si>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</si>
  <si>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</si>
  <si>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</si>
  <si>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</si>
  <si>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</si>
  <si>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</si>
  <si>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</si>
  <si>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</si>
  <si>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</si>
  <si>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</si>
  <si>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</si>
  <si>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</si>
  <si>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</si>
  <si>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</si>
  <si>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</si>
  <si>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</si>
  <si>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</si>
  <si>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</si>
  <si>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</si>
  <si>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</si>
  <si>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</si>
  <si>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</si>
  <si>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</si>
  <si>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</si>
  <si>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</si>
  <si>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</si>
  <si>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</si>
  <si>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</si>
  <si>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</si>
  <si>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</si>
  <si>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</si>
  <si>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</si>
  <si>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</si>
  <si>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</si>
  <si>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</si>
  <si>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</si>
  <si>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</si>
  <si>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</si>
  <si>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</si>
  <si>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</si>
  <si>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</si>
  <si>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</si>
  <si>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</si>
  <si>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</si>
  <si>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</si>
  <si>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</si>
  <si>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</si>
  <si>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</si>
  <si>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</si>
  <si>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</si>
  <si>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</si>
  <si>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</si>
  <si>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</si>
  <si>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</si>
  <si>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</si>
  <si>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</si>
  <si>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</si>
  <si>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</si>
  <si>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</si>
  <si>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</si>
  <si>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</si>
  <si>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</si>
  <si>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</si>
  <si>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</si>
  <si>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</si>
  <si>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</si>
  <si>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</si>
  <si>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</si>
  <si>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</si>
  <si>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</si>
  <si>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</si>
  <si>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</si>
  <si>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</si>
  <si>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</si>
  <si>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</si>
  <si>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</si>
  <si>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</si>
  <si>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</si>
  <si>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</si>
  <si>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</si>
  <si>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</si>
  <si>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</si>
  <si>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</si>
  <si>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</si>
  <si>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</si>
  <si>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</si>
  <si>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</si>
  <si>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</si>
  <si>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</si>
  <si>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</si>
  <si>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</si>
  <si>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</si>
  <si>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</si>
  <si>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</si>
  <si>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</si>
  <si>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</si>
  <si>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</si>
  <si>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</si>
  <si>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</si>
  <si>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</si>
  <si>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</si>
  <si>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</si>
  <si>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</si>
  <si>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</si>
  <si>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</si>
  <si>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</si>
  <si>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</si>
  <si>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</si>
  <si>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</si>
  <si>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</si>
  <si>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</si>
  <si>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</si>
  <si>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</si>
  <si>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</si>
  <si>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</si>
  <si>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</si>
  <si>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</si>
  <si>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</si>
  <si>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</si>
  <si>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</si>
  <si>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</si>
  <si>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</si>
  <si>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</si>
  <si>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</si>
  <si>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</si>
  <si>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</si>
  <si>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</si>
  <si>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</si>
  <si>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</si>
  <si>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</si>
  <si>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</si>
  <si>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</si>
  <si>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</si>
  <si>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</si>
  <si>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</si>
  <si>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</si>
  <si>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</si>
  <si>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</si>
  <si>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</si>
  <si>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</si>
  <si>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</si>
  <si>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</si>
  <si>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</si>
  <si>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</si>
  <si>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</si>
  <si>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</si>
  <si>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</si>
  <si>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</si>
  <si>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</si>
  <si>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</si>
  <si>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</si>
  <si>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</si>
  <si>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</si>
  <si>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</si>
  <si>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</si>
  <si>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</si>
  <si>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</si>
  <si>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</si>
  <si>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</si>
  <si>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</si>
  <si>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</si>
  <si>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</si>
  <si>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</si>
  <si>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</si>
  <si>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</si>
  <si>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</si>
  <si>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</si>
  <si>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</si>
  <si>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</si>
  <si>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</si>
  <si>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</si>
  <si>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</si>
  <si>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</si>
  <si>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</si>
  <si>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</si>
  <si>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</si>
  <si>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</si>
  <si>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</si>
  <si>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</si>
  <si>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</si>
  <si>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</si>
  <si>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</si>
  <si>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</si>
  <si>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</si>
  <si>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</si>
  <si>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</si>
  <si>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</si>
  <si>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</si>
  <si>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</si>
  <si>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</si>
  <si>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</si>
  <si>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</si>
  <si>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</si>
  <si>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</si>
  <si>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</si>
  <si>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</si>
  <si>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</si>
  <si>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</si>
  <si>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</si>
  <si>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</si>
  <si>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</si>
  <si>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</si>
  <si>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</si>
  <si>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</si>
  <si>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</si>
  <si>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</si>
  <si>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</si>
  <si>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</si>
  <si>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</si>
  <si>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</si>
  <si>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</si>
  <si>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</si>
  <si>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</si>
  <si>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</si>
  <si>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</si>
  <si>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</si>
  <si>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</si>
  <si>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</si>
  <si>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</si>
  <si>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</si>
  <si>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</si>
  <si>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</si>
  <si>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</si>
  <si>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</si>
  <si>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</si>
  <si>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</si>
  <si>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</si>
  <si>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</si>
  <si>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</si>
  <si>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</si>
  <si>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</si>
  <si>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</si>
  <si>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</si>
  <si>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</si>
  <si>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</si>
  <si>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</si>
  <si>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</si>
  <si>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</si>
  <si>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</si>
  <si>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</si>
  <si>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</si>
  <si>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</si>
  <si>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</si>
  <si>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</si>
  <si>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</si>
  <si>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</si>
  <si>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</si>
  <si>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</si>
  <si>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</si>
  <si>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</si>
  <si>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</si>
  <si>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</si>
  <si>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</si>
  <si>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</si>
  <si>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</si>
  <si>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</si>
  <si>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</si>
  <si>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</si>
  <si>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</si>
  <si>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</si>
  <si>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</si>
  <si>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</si>
  <si>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</si>
  <si>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</si>
  <si>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</si>
  <si>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</si>
  <si>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</si>
  <si>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</si>
  <si>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</si>
  <si>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</si>
  <si>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</si>
  <si>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</si>
  <si>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</si>
  <si>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</si>
  <si>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</si>
  <si>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</si>
  <si>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</si>
  <si>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</si>
  <si>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</si>
  <si>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</si>
  <si>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</si>
  <si>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</si>
  <si>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</si>
  <si>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</si>
  <si>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</si>
  <si>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</si>
  <si>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</si>
  <si>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</si>
  <si>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</si>
  <si>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</si>
  <si>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</si>
  <si>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</si>
  <si>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</si>
  <si>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</si>
  <si>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</si>
  <si>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</si>
  <si>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</si>
  <si>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</si>
  <si>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</si>
  <si>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</si>
  <si>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</si>
  <si>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</si>
  <si>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</si>
  <si>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</si>
  <si>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</si>
  <si>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</si>
  <si>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</si>
  <si>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</si>
  <si>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</si>
  <si>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</si>
  <si>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</si>
  <si>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</si>
  <si>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</si>
  <si>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</si>
  <si>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</si>
  <si>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</si>
  <si>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</si>
  <si>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</si>
  <si>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</si>
  <si>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</si>
  <si>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</si>
  <si>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</si>
  <si>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</si>
  <si>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</si>
  <si>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</si>
  <si>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</si>
  <si>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</si>
  <si>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</si>
  <si>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</si>
  <si>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</si>
  <si>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</si>
  <si>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</si>
  <si>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</si>
  <si>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</si>
  <si>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</si>
  <si>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</si>
  <si>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</si>
  <si>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</si>
  <si>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</si>
  <si>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</si>
  <si>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</si>
  <si>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</si>
  <si>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</si>
  <si>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</si>
  <si>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</si>
  <si>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</si>
  <si>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</si>
  <si>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</si>
  <si>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</si>
  <si>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</si>
  <si>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</si>
  <si>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</si>
  <si>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</si>
  <si>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</si>
  <si>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</si>
  <si>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</si>
  <si>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</si>
  <si>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</si>
  <si>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</si>
  <si>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</si>
  <si>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</si>
  <si>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</si>
  <si>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</si>
  <si>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</si>
  <si>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</si>
  <si>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</si>
  <si>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</si>
  <si>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</si>
  <si>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</si>
  <si>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</si>
  <si>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</si>
  <si>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</si>
  <si>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</si>
  <si>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</si>
  <si>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</si>
  <si>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</si>
  <si>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</si>
  <si>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</si>
  <si>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</si>
  <si>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</si>
  <si>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</si>
  <si>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</si>
  <si>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</si>
  <si>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</si>
  <si>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</si>
  <si>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</si>
  <si>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</si>
  <si>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</si>
  <si>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</si>
  <si>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</si>
  <si>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</si>
  <si>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</si>
  <si>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</si>
  <si>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</si>
  <si>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</si>
  <si>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</si>
  <si>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</si>
  <si>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</si>
  <si>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</si>
  <si>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</si>
  <si>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</si>
  <si>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</si>
  <si>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</si>
  <si>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</si>
  <si>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</si>
  <si>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</si>
  <si>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</si>
  <si>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</si>
  <si>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</si>
  <si>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</si>
  <si>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</si>
  <si>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</si>
  <si>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</si>
  <si>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</si>
  <si>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</si>
  <si>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</si>
  <si>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</si>
  <si>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</si>
  <si>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</si>
  <si>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</si>
  <si>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</si>
  <si>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</si>
  <si>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</si>
  <si>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</si>
  <si>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</si>
  <si>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</si>
  <si>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</si>
  <si>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</si>
  <si>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</si>
  <si>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</si>
  <si>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</si>
  <si>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</si>
  <si>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</si>
  <si>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</si>
  <si>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</si>
  <si>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</si>
  <si>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</si>
  <si>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</si>
  <si>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</si>
  <si>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</si>
  <si>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</si>
  <si>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</si>
  <si>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</si>
  <si>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</si>
  <si>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</si>
  <si>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</si>
  <si>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</si>
  <si>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</si>
  <si>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</si>
  <si>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</si>
  <si>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</si>
  <si>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</si>
  <si>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</si>
  <si>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</si>
  <si>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</si>
  <si>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</si>
  <si>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</si>
  <si>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</si>
  <si>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</si>
  <si>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</si>
  <si>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</si>
  <si>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</si>
  <si>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</si>
  <si>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</si>
  <si>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</si>
  <si>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</si>
  <si>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</si>
  <si>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</si>
  <si>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</si>
  <si>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</si>
  <si>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</si>
  <si>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</si>
  <si>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</si>
  <si>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</si>
  <si>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</si>
  <si>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</si>
  <si>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</si>
  <si>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</si>
  <si>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</si>
  <si>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</si>
  <si>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</si>
  <si>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</si>
  <si>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</si>
  <si>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</si>
  <si>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</si>
  <si>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</si>
  <si>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</si>
  <si>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</si>
  <si>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</si>
  <si>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</si>
  <si>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</si>
  <si>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</si>
  <si>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</si>
  <si>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</si>
  <si>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</si>
  <si>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</si>
  <si>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</si>
  <si>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</si>
  <si>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</si>
  <si>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</si>
  <si>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</si>
  <si>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</si>
  <si>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</si>
  <si>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</si>
  <si>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</si>
  <si>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</si>
  <si>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</si>
  <si>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</si>
  <si>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</si>
  <si>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</si>
  <si>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</si>
  <si>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</si>
  <si>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</si>
  <si>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</si>
  <si>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</si>
  <si>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</si>
  <si>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</si>
  <si>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</si>
  <si>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</si>
  <si>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</si>
  <si>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</si>
  <si>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</si>
  <si>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</si>
  <si>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</si>
  <si>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</si>
  <si>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</si>
  <si>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</si>
  <si>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</si>
  <si>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</si>
  <si>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</si>
  <si>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</si>
  <si>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</si>
  <si>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</si>
  <si>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</si>
  <si>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</si>
  <si>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</si>
  <si>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</si>
  <si>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</si>
  <si>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</si>
  <si>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</si>
  <si>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</si>
  <si>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</si>
  <si>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</si>
  <si>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</si>
  <si>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</si>
  <si>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</si>
  <si>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</si>
  <si>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</si>
  <si>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</si>
  <si>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</si>
  <si>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</si>
  <si>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</si>
  <si>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</si>
  <si>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</si>
  <si>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</si>
  <si>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</si>
  <si>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</si>
  <si>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</si>
  <si>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</si>
  <si>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</si>
  <si>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</si>
  <si>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</si>
  <si>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</si>
  <si>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</si>
  <si>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</si>
  <si>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</si>
  <si>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</si>
  <si>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</si>
  <si>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</si>
  <si>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</si>
  <si>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</si>
  <si>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</si>
  <si>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</si>
  <si>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</si>
  <si>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</si>
  <si>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</si>
  <si>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</si>
  <si>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</si>
  <si>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</si>
  <si>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</si>
  <si>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</si>
  <si>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</si>
  <si>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</si>
  <si>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</si>
  <si>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</si>
  <si>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</si>
  <si>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</si>
  <si>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</si>
  <si>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</si>
  <si>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</si>
  <si>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</si>
  <si>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</si>
  <si>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</si>
  <si>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</si>
  <si>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</si>
  <si>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</si>
  <si>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</si>
  <si>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</si>
  <si>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</si>
  <si>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</si>
  <si>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</si>
  <si>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</si>
  <si>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</si>
  <si>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</si>
  <si>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</si>
  <si>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</si>
  <si>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</si>
  <si>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</si>
  <si>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</si>
  <si>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</si>
  <si>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</si>
  <si>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</si>
  <si>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</si>
  <si>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</si>
  <si>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</si>
  <si>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</si>
  <si>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</si>
  <si>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</si>
  <si>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</si>
  <si>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</si>
  <si>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</si>
  <si>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</si>
  <si>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</si>
  <si>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</si>
  <si>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</si>
  <si>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</si>
  <si>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</si>
  <si>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</si>
  <si>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</si>
  <si>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</si>
  <si>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</si>
  <si>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</si>
  <si>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</si>
  <si>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</si>
  <si>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</si>
  <si>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</si>
  <si>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</si>
  <si>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</si>
  <si>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</si>
  <si>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</si>
  <si>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</si>
  <si>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</si>
  <si>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</si>
  <si>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</si>
  <si>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</si>
  <si>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</si>
  <si>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</si>
  <si>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</si>
  <si>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</si>
  <si>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</si>
  <si>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</si>
  <si>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</si>
  <si>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</si>
  <si>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</si>
  <si>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</si>
  <si>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</si>
  <si>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</si>
  <si>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</si>
  <si>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</si>
  <si>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</si>
  <si>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</si>
  <si>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</si>
  <si>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</si>
  <si>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</si>
  <si>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</si>
  <si>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</si>
  <si>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</si>
  <si>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</si>
  <si>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</si>
  <si>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</si>
  <si>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</si>
  <si>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</si>
  <si>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</si>
  <si>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</si>
  <si>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</si>
  <si>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</si>
  <si>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</si>
  <si>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</si>
  <si>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</si>
  <si>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</si>
  <si>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</si>
  <si>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</si>
  <si>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</si>
  <si>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</si>
  <si>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</si>
  <si>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</si>
  <si>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</si>
  <si>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</si>
  <si>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</si>
  <si>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</si>
  <si>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</si>
  <si>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</si>
  <si>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</si>
  <si>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</si>
  <si>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</si>
  <si>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</si>
  <si>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</si>
  <si>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</si>
  <si>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</si>
  <si>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</si>
  <si>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</si>
  <si>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</si>
  <si>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</si>
  <si>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</si>
  <si>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</si>
  <si>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</si>
  <si>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</si>
  <si>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</si>
  <si>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</si>
  <si>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</si>
  <si>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</si>
  <si>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</si>
  <si>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</si>
  <si>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</si>
  <si>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</si>
  <si>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</si>
  <si>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</si>
  <si>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</si>
  <si>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</si>
  <si>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</si>
  <si>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</si>
  <si>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</si>
  <si>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</si>
  <si>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</si>
  <si>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</si>
  <si>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</si>
  <si>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</si>
  <si>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</si>
  <si>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</si>
  <si>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</si>
  <si>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</si>
  <si>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</si>
  <si>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</si>
  <si>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</si>
  <si>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</si>
  <si>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</si>
  <si>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</si>
  <si>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</si>
  <si>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</si>
  <si>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</si>
  <si>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</si>
  <si>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</si>
  <si>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</si>
  <si>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</si>
  <si>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</si>
  <si>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</si>
  <si>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</si>
  <si>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</si>
  <si>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</si>
  <si>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</si>
  <si>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</si>
  <si>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</si>
  <si>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</si>
  <si>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</si>
  <si>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</si>
  <si>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</si>
  <si>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</si>
  <si>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</si>
  <si>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</si>
  <si>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</si>
  <si>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</si>
  <si>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</si>
  <si>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</si>
  <si>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</si>
  <si>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</si>
  <si>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</si>
  <si>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</si>
  <si>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</si>
  <si>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</si>
  <si>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</si>
  <si>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</si>
  <si>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</si>
  <si>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</si>
  <si>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</si>
  <si>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</si>
  <si>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</si>
  <si>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</si>
  <si>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</si>
  <si>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</si>
  <si>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</si>
  <si>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</si>
  <si>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</si>
  <si>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</si>
  <si>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</si>
  <si>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</si>
  <si>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</si>
  <si>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</si>
  <si>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</si>
  <si>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</si>
  <si>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</si>
  <si>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</si>
  <si>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</si>
  <si>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</si>
  <si>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</si>
  <si>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</si>
  <si>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</si>
  <si>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</si>
  <si>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</si>
  <si>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</si>
  <si>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</si>
  <si>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</si>
  <si>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</si>
  <si>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</si>
  <si>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</si>
  <si>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</si>
  <si>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</si>
  <si>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</si>
  <si>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</si>
  <si>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</si>
  <si>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</si>
  <si>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</si>
  <si>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</si>
  <si>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</si>
  <si>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</si>
  <si>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</si>
  <si>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</si>
  <si>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</si>
  <si>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</si>
  <si>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</si>
  <si>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</si>
  <si>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</si>
  <si>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</si>
  <si>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</si>
  <si>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</si>
  <si>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</si>
  <si>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</si>
  <si>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</si>
  <si>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</si>
  <si>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</si>
  <si>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</si>
  <si>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</si>
  <si>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</si>
  <si>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</si>
  <si>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</si>
  <si>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</si>
  <si>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</si>
  <si>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</si>
  <si>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</si>
  <si>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</si>
  <si>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</si>
  <si>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</si>
  <si>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</si>
  <si>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</si>
  <si>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</si>
  <si>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</si>
  <si>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</si>
  <si>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</si>
  <si>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</si>
  <si>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</si>
  <si>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</si>
  <si>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</si>
  <si>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</si>
  <si>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</si>
  <si>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</si>
  <si>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</si>
  <si>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</si>
  <si>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</si>
  <si>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</si>
  <si>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</si>
  <si>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</si>
  <si>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</si>
  <si>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</si>
  <si>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</si>
  <si>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</si>
  <si>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</si>
  <si>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</si>
  <si>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</si>
  <si>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</si>
  <si>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</si>
  <si>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</si>
  <si>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</si>
  <si>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</si>
  <si>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</si>
  <si>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</si>
  <si>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</si>
  <si>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</si>
  <si>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</si>
  <si>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</si>
  <si>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</si>
  <si>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</si>
  <si>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</si>
  <si>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</si>
  <si>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</si>
  <si>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</si>
  <si>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</si>
  <si>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</si>
  <si>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</si>
  <si>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</si>
  <si>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</si>
  <si>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</si>
  <si>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</si>
  <si>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</si>
  <si>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</si>
  <si>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</si>
  <si>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</si>
  <si>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</si>
  <si>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</si>
  <si>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</si>
  <si>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</si>
  <si>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</si>
  <si>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</si>
  <si>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</si>
  <si>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</si>
  <si>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</si>
  <si>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</si>
  <si>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</si>
  <si>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</si>
  <si>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</si>
  <si>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</si>
  <si>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</si>
  <si>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</si>
  <si>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</si>
  <si>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</si>
  <si>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</si>
  <si>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</si>
  <si>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</si>
  <si>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</si>
  <si>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</si>
  <si>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</si>
  <si>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</si>
  <si>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</si>
  <si>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</si>
  <si>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</si>
  <si>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</si>
  <si>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</si>
  <si>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</si>
  <si>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</si>
  <si>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</si>
  <si>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</si>
  <si>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</si>
  <si>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</si>
  <si>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</si>
  <si>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</si>
  <si>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</si>
  <si>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</si>
  <si>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</si>
  <si>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</si>
  <si>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</si>
  <si>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</si>
  <si>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</si>
  <si>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</si>
  <si>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</si>
  <si>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</si>
  <si>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</si>
  <si>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</si>
  <si>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</si>
  <si>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</si>
  <si>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</si>
  <si>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</si>
  <si>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</si>
  <si>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</si>
  <si>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</si>
  <si>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</si>
  <si>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</si>
  <si>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</si>
  <si>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</si>
  <si>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</si>
  <si>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</si>
  <si>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</si>
  <si>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</si>
  <si>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</si>
  <si>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</si>
  <si>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</si>
  <si>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</si>
  <si>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</si>
  <si>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</si>
  <si>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</si>
  <si>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</si>
  <si>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</si>
  <si>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</si>
  <si>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</si>
  <si>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</si>
  <si>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</si>
  <si>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</si>
  <si>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</si>
  <si>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</si>
  <si>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</si>
  <si>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</si>
  <si>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</si>
  <si>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</si>
  <si>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</si>
  <si>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</si>
  <si>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</si>
  <si>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</si>
  <si>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</si>
  <si>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</si>
  <si>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</si>
  <si>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</si>
  <si>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</si>
  <si>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</si>
  <si>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</si>
  <si>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</si>
  <si>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</si>
  <si>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</si>
  <si>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</si>
  <si>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</si>
  <si>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</si>
  <si>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</si>
  <si>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</si>
  <si>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</si>
  <si>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</si>
  <si>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</si>
  <si>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</si>
  <si>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</si>
  <si>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</si>
  <si>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</si>
  <si>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</si>
  <si>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</si>
  <si>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</si>
  <si>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</si>
  <si>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</si>
  <si>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</si>
  <si>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</si>
  <si>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</si>
  <si>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</si>
  <si>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</si>
  <si>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</si>
  <si>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</si>
  <si>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</si>
  <si>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</si>
  <si>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</si>
  <si>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</si>
  <si>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</si>
  <si>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</si>
  <si>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</si>
  <si>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</si>
  <si>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</si>
  <si>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</si>
  <si>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</si>
  <si>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</si>
  <si>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</si>
  <si>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</si>
  <si>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</si>
  <si>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</si>
  <si>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</si>
  <si>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</si>
  <si>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</si>
  <si>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</si>
  <si>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</si>
  <si>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</si>
  <si>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</si>
  <si>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</si>
  <si>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</si>
  <si>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</si>
  <si>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</si>
  <si>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</si>
  <si>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</si>
  <si>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</si>
  <si>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</si>
  <si>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</si>
  <si>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</si>
  <si>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</si>
  <si>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</si>
  <si>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</si>
  <si>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</si>
  <si>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</si>
  <si>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</si>
  <si>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</si>
  <si>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</si>
  <si>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</si>
  <si>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</si>
  <si>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</si>
  <si>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</si>
  <si>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</si>
  <si>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</si>
  <si>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</si>
  <si>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</si>
  <si>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</si>
  <si>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</si>
  <si>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</si>
  <si>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</si>
  <si>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</si>
  <si>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</si>
  <si>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</si>
  <si>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</si>
  <si>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</si>
  <si>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</si>
  <si>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</si>
  <si>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</si>
  <si>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</si>
  <si>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</si>
  <si>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</si>
  <si>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</si>
  <si>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</si>
  <si>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</si>
  <si>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</si>
  <si>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</si>
  <si>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</si>
  <si>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</si>
  <si>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</si>
  <si>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</si>
  <si>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</si>
  <si>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</si>
  <si>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</si>
  <si>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</si>
  <si>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</si>
  <si>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</si>
  <si>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</si>
  <si>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</si>
  <si>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</si>
  <si>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</si>
  <si>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</si>
  <si>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</si>
  <si>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</si>
  <si>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</si>
  <si>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</si>
  <si>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</si>
  <si>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</si>
  <si>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</si>
  <si>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</si>
  <si>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</si>
  <si>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</si>
  <si>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</si>
  <si>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</si>
  <si>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</si>
  <si>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</si>
  <si>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</si>
  <si>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</si>
  <si>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</si>
  <si>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</si>
  <si>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</si>
  <si>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</si>
  <si>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</si>
  <si>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</si>
  <si>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</si>
  <si>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</si>
  <si>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</si>
  <si>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</si>
  <si>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</si>
  <si>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</si>
  <si>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</si>
  <si>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</si>
  <si>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</si>
  <si>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</si>
  <si>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</si>
  <si>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</si>
  <si>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</si>
  <si>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</si>
  <si>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</si>
  <si>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</si>
  <si>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</si>
  <si>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</si>
  <si>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</si>
  <si>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</si>
  <si>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</si>
  <si>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</si>
  <si>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</si>
  <si>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</si>
  <si>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</si>
  <si>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</si>
  <si>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</si>
  <si>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</si>
  <si>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</si>
  <si>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</si>
  <si>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</si>
  <si>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</si>
  <si>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</si>
  <si>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</si>
  <si>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</si>
  <si>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</si>
  <si>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</si>
  <si>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</si>
  <si>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</si>
  <si>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</si>
  <si>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</si>
  <si>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</si>
  <si>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</si>
  <si>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</si>
  <si>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</si>
  <si>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</si>
  <si>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</si>
  <si>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</si>
  <si>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</si>
  <si>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</si>
  <si>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</si>
  <si>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</si>
  <si>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</si>
  <si>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</si>
  <si>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</si>
  <si>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</si>
  <si>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</si>
  <si>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</si>
  <si>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</si>
  <si>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</si>
  <si>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</si>
  <si>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</si>
  <si>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</si>
  <si>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</si>
  <si>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</si>
  <si>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</si>
  <si>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</si>
  <si>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</si>
  <si>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</si>
  <si>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</si>
  <si>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</si>
  <si>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</si>
  <si>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</si>
  <si>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</si>
  <si>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</si>
  <si>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</si>
  <si>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</si>
  <si>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</si>
  <si>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</si>
  <si>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</si>
  <si>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</si>
  <si>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</si>
  <si>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</si>
  <si>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</si>
  <si>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</si>
  <si>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</si>
  <si>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</si>
  <si>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</si>
  <si>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</si>
  <si>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</si>
  <si>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</si>
  <si>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</si>
  <si>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</si>
  <si>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</si>
  <si>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</si>
  <si>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</si>
  <si>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</si>
  <si>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</si>
  <si>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</si>
  <si>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</si>
  <si>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</si>
  <si>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</si>
  <si>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</si>
  <si>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</si>
  <si>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</si>
  <si>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</si>
  <si>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</si>
  <si>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</si>
  <si>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</si>
  <si>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</si>
  <si>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</si>
  <si>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</si>
  <si>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</si>
  <si>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</si>
  <si>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</si>
  <si>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</si>
  <si>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</si>
  <si>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</si>
  <si>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</si>
  <si>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</si>
  <si>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</si>
  <si>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</si>
  <si>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</si>
  <si>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</si>
  <si>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</si>
  <si>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</si>
  <si>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</si>
  <si>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</si>
  <si>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</si>
  <si>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</si>
  <si>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</si>
  <si>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</si>
  <si>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</si>
  <si>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</si>
  <si>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</si>
  <si>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</si>
  <si>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</si>
  <si>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</si>
  <si>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</si>
  <si>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</si>
  <si>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</si>
  <si>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</si>
  <si>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</si>
  <si>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</si>
  <si>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</si>
  <si>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</si>
  <si>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</si>
  <si>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</si>
  <si>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</si>
  <si>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</si>
  <si>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</si>
  <si>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</si>
  <si>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</si>
  <si>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</si>
  <si>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</si>
  <si>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</si>
  <si>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</si>
  <si>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</si>
  <si>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</si>
  <si>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</si>
  <si>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</si>
  <si>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</si>
  <si>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</si>
  <si>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</si>
  <si>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</si>
  <si>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</si>
  <si>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</si>
  <si>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</si>
  <si>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</si>
  <si>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</si>
  <si>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</si>
  <si>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</si>
  <si>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</si>
  <si>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</si>
  <si>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</si>
  <si>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</si>
  <si>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</si>
  <si>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</si>
  <si>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</si>
  <si>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</si>
  <si>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</si>
  <si>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</si>
  <si>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</si>
  <si>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</si>
  <si>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</si>
  <si>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</si>
  <si>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</si>
  <si>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</si>
  <si>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</si>
  <si>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</si>
  <si>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</si>
  <si>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</si>
  <si>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</si>
  <si>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</si>
  <si>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</si>
  <si>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</si>
  <si>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</si>
  <si>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</si>
  <si>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</si>
  <si>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</si>
  <si>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</si>
  <si>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</si>
  <si>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</si>
  <si>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</si>
  <si>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</si>
  <si>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</si>
  <si>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</si>
  <si>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</si>
  <si>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</si>
  <si>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</si>
  <si>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</si>
  <si>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</si>
  <si>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</si>
  <si>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</si>
  <si>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</si>
  <si>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</si>
  <si>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</si>
  <si>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</si>
  <si>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</si>
  <si>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</si>
  <si>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</si>
  <si>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</si>
  <si>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</si>
  <si>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</si>
  <si>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</si>
  <si>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</si>
  <si>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</si>
  <si>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</si>
  <si>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</si>
  <si>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</si>
  <si>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</si>
  <si>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</si>
  <si>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</si>
  <si>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</si>
  <si>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</si>
  <si>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</si>
  <si>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</si>
  <si>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</si>
  <si>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</si>
  <si>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</si>
  <si>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</si>
  <si>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</si>
  <si>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</si>
  <si>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</si>
  <si>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</si>
  <si>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</si>
  <si>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</si>
  <si>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</si>
  <si>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</si>
  <si>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</si>
  <si>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</si>
  <si>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</si>
  <si>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</si>
  <si>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</si>
  <si>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</si>
  <si>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</si>
  <si>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</si>
  <si>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</si>
  <si>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</si>
  <si>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</si>
  <si>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</si>
  <si>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</si>
  <si>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</si>
  <si>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</si>
  <si>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</si>
  <si>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</si>
  <si>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</si>
  <si>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</si>
  <si>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</si>
  <si>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</si>
  <si>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</si>
  <si>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</si>
  <si>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</si>
  <si>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</si>
  <si>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</si>
  <si>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</si>
  <si>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</si>
  <si>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</si>
  <si>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</si>
  <si>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</si>
  <si>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</si>
  <si>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</si>
  <si>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</si>
  <si>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</si>
  <si>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</si>
  <si>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</si>
  <si>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</si>
  <si>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</si>
  <si>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</si>
  <si>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</si>
  <si>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</si>
  <si>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</si>
  <si>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</si>
  <si>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</si>
  <si>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</si>
  <si>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</si>
  <si>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</si>
  <si>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</si>
  <si>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</si>
  <si>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</si>
  <si>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</si>
  <si>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</si>
  <si>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</si>
  <si>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</si>
  <si>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</si>
  <si>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</si>
  <si>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</si>
  <si>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</si>
  <si>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</si>
  <si>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</si>
  <si>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</si>
  <si>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</si>
  <si>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</si>
  <si>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</si>
  <si>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</si>
  <si>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</si>
  <si>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</si>
  <si>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</si>
  <si>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</si>
  <si>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</si>
  <si>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</si>
  <si>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</si>
  <si>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</si>
  <si>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</si>
  <si>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</si>
  <si>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</si>
  <si>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</si>
  <si>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</si>
  <si>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</si>
  <si>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</si>
  <si>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</si>
  <si>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</si>
  <si>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</si>
  <si>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</si>
  <si>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</si>
  <si>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</si>
  <si>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</si>
  <si>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</si>
  <si>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</si>
  <si>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</si>
  <si>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</si>
  <si>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</si>
  <si>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</si>
  <si>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</si>
  <si>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</si>
  <si>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</si>
  <si>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</si>
  <si>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</si>
  <si>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</si>
  <si>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</si>
  <si>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</si>
  <si>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</si>
  <si>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</si>
  <si>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</si>
  <si>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</si>
  <si>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</si>
  <si>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</si>
  <si>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</si>
  <si>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</si>
  <si>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</si>
  <si>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</si>
  <si>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</si>
  <si>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</si>
  <si>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</si>
  <si>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</si>
  <si>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</si>
  <si>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</si>
  <si>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</si>
  <si>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</si>
  <si>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</si>
  <si>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</si>
  <si>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</si>
  <si>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</si>
  <si>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</si>
  <si>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</si>
  <si>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</si>
  <si>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</si>
  <si>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</si>
  <si>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</si>
  <si>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</si>
  <si>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</si>
  <si>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</si>
  <si>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</si>
  <si>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</si>
  <si>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</si>
  <si>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</si>
  <si>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</si>
  <si>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</si>
  <si>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</si>
  <si>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</si>
  <si>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</si>
  <si>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</si>
  <si>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</si>
  <si>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</si>
  <si>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</si>
  <si>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</si>
  <si>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</si>
  <si>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</si>
  <si>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</si>
  <si>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</si>
  <si>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</si>
  <si>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</si>
  <si>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</si>
  <si>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</si>
  <si>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</si>
  <si>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</si>
  <si>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</si>
  <si>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</si>
  <si>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</si>
  <si>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</si>
  <si>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</si>
  <si>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</si>
  <si>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</si>
  <si>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</si>
  <si>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</si>
  <si>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</si>
  <si>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</si>
  <si>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</si>
  <si>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</si>
  <si>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</si>
  <si>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</si>
  <si>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</si>
  <si>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</si>
  <si>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</si>
  <si>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</si>
  <si>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</si>
  <si>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</si>
  <si>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</si>
  <si>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</si>
  <si>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</si>
  <si>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</si>
  <si>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</si>
  <si>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</si>
  <si>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</si>
  <si>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</si>
  <si>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</si>
  <si>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</si>
  <si>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</si>
  <si>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</si>
  <si>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</si>
  <si>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</si>
  <si>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</si>
  <si>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</si>
  <si>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</si>
  <si>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</si>
  <si>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</si>
  <si>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</si>
  <si>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</si>
  <si>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</si>
  <si>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</si>
  <si>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</si>
  <si>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</si>
  <si>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</si>
  <si>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</si>
  <si>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</si>
  <si>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</si>
  <si>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</si>
  <si>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</si>
  <si>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</si>
  <si>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</si>
  <si>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</si>
  <si>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</si>
  <si>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</si>
  <si>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</si>
  <si>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</si>
  <si>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</si>
  <si>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</si>
  <si>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</si>
  <si>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</si>
  <si>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</si>
  <si>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</si>
  <si>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</si>
  <si>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</si>
  <si>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</si>
  <si>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</si>
  <si>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</si>
  <si>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</si>
  <si>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</si>
  <si>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</si>
  <si>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</si>
  <si>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</si>
  <si>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</si>
  <si>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</si>
  <si>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</si>
  <si>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</si>
  <si>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</si>
  <si>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</si>
  <si>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</si>
  <si>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</si>
  <si>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</si>
  <si>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</si>
  <si>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</si>
  <si>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</si>
  <si>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</si>
  <si>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</si>
  <si>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</si>
  <si>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</si>
  <si>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</si>
  <si>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</si>
  <si>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</si>
  <si>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</si>
  <si>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</si>
  <si>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</si>
  <si>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</si>
  <si>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</si>
  <si>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</si>
  <si>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</si>
  <si>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</si>
  <si>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</si>
  <si>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</si>
  <si>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</si>
  <si>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</si>
  <si>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</si>
  <si>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</si>
  <si>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</si>
  <si>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</si>
  <si>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</si>
  <si>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</si>
  <si>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</si>
  <si>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</si>
  <si>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</si>
  <si>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</si>
  <si>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</si>
  <si>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</si>
  <si>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</si>
  <si>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</si>
  <si>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</si>
  <si>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</si>
  <si>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</si>
  <si>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</si>
  <si>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</si>
  <si>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</si>
  <si>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</si>
  <si>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</si>
  <si>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</si>
  <si>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</si>
  <si>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</si>
  <si>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</si>
  <si>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</si>
  <si>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</si>
  <si>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</si>
  <si>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</si>
  <si>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</si>
  <si>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</si>
  <si>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</si>
  <si>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</si>
  <si>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</si>
  <si>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</si>
  <si>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</si>
  <si>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</si>
  <si>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</si>
  <si>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</si>
  <si>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</si>
  <si>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</si>
  <si>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</si>
  <si>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</si>
  <si>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</si>
  <si>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</si>
  <si>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</si>
  <si>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</si>
  <si>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</si>
  <si>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</si>
  <si>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</si>
  <si>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</si>
  <si>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</si>
  <si>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</si>
  <si>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</si>
  <si>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</si>
  <si>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</si>
  <si>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</si>
  <si>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</si>
  <si>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</si>
  <si>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</si>
  <si>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</si>
  <si>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</si>
  <si>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</si>
  <si>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</si>
  <si>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</si>
  <si>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</si>
  <si>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</si>
  <si>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</si>
  <si>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</si>
  <si>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</si>
  <si>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</si>
  <si>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</si>
  <si>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</si>
  <si>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</si>
  <si>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</si>
  <si>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</si>
  <si>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</si>
  <si>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</si>
  <si>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</si>
  <si>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</si>
  <si>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</si>
  <si>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</si>
  <si>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</si>
  <si>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</si>
  <si>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</si>
  <si>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</si>
  <si>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</si>
  <si>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</si>
  <si>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</si>
  <si>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</si>
  <si>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</si>
  <si>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</si>
  <si>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</si>
  <si>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</si>
  <si>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</si>
  <si>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</si>
  <si>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</si>
  <si>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</si>
  <si>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</si>
  <si>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</si>
  <si>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</si>
  <si>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</si>
  <si>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</si>
  <si>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</si>
  <si>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</si>
  <si>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</si>
  <si>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</si>
  <si>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</si>
  <si>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</si>
  <si>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</si>
  <si>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</si>
  <si>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</si>
  <si>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</si>
  <si>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</si>
  <si>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</si>
  <si>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</si>
  <si>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</si>
  <si>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</si>
  <si>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</si>
  <si>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</si>
  <si>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</si>
  <si>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</si>
  <si>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</si>
  <si>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</si>
  <si>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</si>
  <si>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</si>
  <si>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</si>
  <si>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</si>
  <si>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</si>
  <si>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</si>
  <si>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</si>
  <si>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</si>
  <si>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</si>
  <si>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</si>
  <si>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</si>
  <si>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</si>
  <si>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</si>
  <si>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</si>
  <si>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</si>
  <si>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</si>
  <si>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</si>
  <si>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</si>
  <si>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</si>
  <si>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</si>
  <si>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</si>
  <si>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</si>
  <si>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</si>
  <si>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</si>
  <si>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</si>
  <si>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</si>
  <si>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</si>
  <si>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</si>
  <si>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</si>
  <si>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</si>
  <si>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</si>
  <si>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</si>
  <si>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</si>
  <si>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</si>
  <si>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</si>
  <si>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</si>
  <si>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</si>
  <si>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</si>
  <si>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</si>
  <si>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</si>
  <si>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</si>
  <si>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</si>
  <si>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</si>
  <si>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</si>
  <si>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</si>
  <si>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</si>
  <si>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</si>
  <si>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</si>
  <si>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</si>
  <si>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</si>
  <si>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</si>
  <si>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</si>
  <si>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</si>
  <si>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</si>
  <si>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</si>
  <si>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</si>
  <si>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</si>
  <si>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</si>
  <si>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</si>
  <si>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</si>
  <si>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</si>
  <si>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</si>
  <si>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</si>
  <si>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</si>
  <si>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</si>
  <si>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</si>
  <si>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</si>
  <si>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</si>
  <si>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</si>
  <si>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</si>
  <si>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</si>
  <si>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</si>
  <si>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</si>
  <si>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</si>
  <si>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</si>
  <si>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</si>
  <si>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</si>
  <si>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</si>
  <si>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</si>
  <si>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</si>
  <si>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</si>
  <si>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</si>
  <si>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</si>
  <si>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</si>
  <si>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</si>
  <si>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</si>
  <si>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</si>
  <si>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</si>
  <si>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</si>
  <si>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</si>
  <si>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</si>
  <si>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</si>
  <si>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</si>
  <si>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</si>
  <si>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</si>
  <si>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</si>
  <si>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</si>
  <si>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</si>
  <si>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</si>
  <si>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</si>
  <si>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</si>
  <si>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</si>
  <si>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</si>
  <si>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</si>
  <si>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</si>
  <si>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</si>
  <si>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</si>
  <si>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</si>
  <si>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</si>
  <si>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</si>
  <si>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</si>
  <si>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</si>
  <si>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</si>
  <si>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</si>
  <si>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</si>
  <si>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</si>
  <si>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</si>
  <si>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</si>
  <si>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</si>
  <si>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</si>
  <si>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</si>
  <si>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</si>
  <si>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</si>
  <si>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</si>
  <si>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</si>
  <si>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</si>
  <si>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</si>
  <si>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</si>
  <si>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</si>
  <si>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</si>
  <si>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</si>
  <si>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</si>
  <si>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</si>
  <si>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</si>
  <si>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</si>
  <si>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</si>
  <si>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</si>
  <si>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</si>
  <si>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</si>
  <si>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</si>
  <si>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</si>
  <si>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</si>
  <si>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</si>
  <si>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</si>
  <si>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</si>
  <si>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</si>
  <si>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</si>
  <si>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</si>
  <si>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</si>
  <si>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</si>
  <si>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</si>
  <si>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</si>
  <si>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</si>
  <si>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</si>
  <si>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</si>
  <si>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</si>
  <si>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</si>
  <si>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</si>
  <si>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</si>
  <si>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</si>
  <si>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</si>
  <si>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</si>
  <si>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</si>
  <si>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</si>
  <si>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</si>
  <si>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</si>
  <si>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</si>
  <si>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</si>
  <si>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</si>
  <si>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</si>
  <si>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</si>
  <si>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</si>
  <si>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</si>
  <si>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</si>
  <si>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</si>
  <si>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</si>
  <si>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</si>
  <si>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</si>
  <si>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</si>
  <si>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</si>
  <si>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</si>
  <si>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</si>
  <si>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</si>
  <si>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</si>
  <si>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</si>
  <si>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</si>
  <si>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</si>
  <si>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</si>
  <si>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</si>
  <si>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</si>
  <si>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</si>
  <si>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</si>
  <si>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</si>
  <si>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</si>
  <si>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</si>
  <si>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</si>
  <si>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</si>
  <si>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</si>
  <si>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</si>
  <si>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</si>
  <si>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</si>
  <si>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</si>
  <si>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</si>
  <si>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</si>
  <si>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</si>
  <si>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</si>
  <si>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</si>
  <si>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</si>
  <si>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</si>
  <si>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</si>
  <si>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</si>
  <si>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</si>
  <si>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</si>
  <si>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</si>
  <si>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</si>
  <si>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</si>
  <si>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</si>
  <si>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</si>
  <si>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</si>
  <si>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</si>
  <si>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</si>
  <si>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</si>
  <si>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</si>
  <si>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</si>
  <si>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</si>
  <si>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</si>
  <si>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</si>
  <si>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</si>
  <si>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</si>
  <si>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</si>
  <si>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</si>
  <si>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</si>
  <si>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</si>
  <si>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</si>
  <si>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</si>
  <si>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</si>
  <si>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</si>
  <si>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</si>
  <si>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</si>
  <si>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</si>
  <si>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</si>
  <si>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</si>
  <si>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</si>
  <si>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</si>
  <si>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</si>
  <si>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</si>
  <si>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</si>
  <si>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</si>
  <si>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</si>
  <si>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</si>
  <si>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</si>
  <si>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</si>
  <si>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</si>
  <si>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</si>
  <si>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</si>
  <si>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</si>
  <si>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</si>
  <si>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</si>
  <si>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</si>
  <si>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</si>
  <si>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</si>
  <si>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</si>
  <si>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</si>
  <si>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</si>
  <si>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</si>
  <si>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</si>
  <si>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</si>
  <si>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</si>
  <si>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</si>
  <si>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</si>
  <si>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</si>
  <si>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</si>
  <si>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</si>
  <si>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</si>
  <si>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</si>
  <si>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</si>
  <si>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</si>
  <si>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</si>
  <si>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</si>
  <si>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</si>
  <si>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</si>
  <si>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</si>
  <si>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</si>
  <si>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</si>
  <si>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</si>
  <si>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</si>
  <si>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</si>
  <si>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</si>
  <si>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</si>
  <si>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</si>
  <si>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</si>
  <si>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</si>
  <si>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</si>
  <si>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</si>
  <si>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</si>
  <si>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</si>
  <si>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</si>
  <si>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</si>
  <si>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</si>
  <si>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</si>
  <si>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</si>
  <si>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</si>
  <si>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</si>
  <si>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</si>
  <si>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</si>
  <si>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</si>
  <si>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</si>
  <si>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</si>
  <si>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</si>
  <si>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</si>
  <si>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</si>
  <si>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</si>
  <si>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</si>
  <si>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</si>
  <si>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</si>
  <si>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</si>
  <si>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</si>
  <si>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</si>
  <si>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</si>
  <si>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</si>
  <si>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</si>
  <si>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</si>
  <si>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</si>
  <si>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</si>
  <si>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</si>
  <si>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</si>
  <si>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</si>
  <si>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</si>
  <si>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</si>
  <si>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</si>
  <si>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</si>
  <si>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</si>
  <si>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</si>
  <si>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</si>
  <si>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</si>
  <si>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</si>
  <si>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</si>
  <si>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</si>
  <si>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</si>
  <si>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</si>
  <si>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</si>
  <si>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</si>
  <si>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</si>
  <si>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</si>
  <si>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</si>
  <si>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</si>
  <si>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</si>
  <si>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</si>
  <si>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</si>
  <si>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</si>
  <si>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</si>
  <si>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</si>
  <si>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</si>
  <si>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</si>
  <si>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</si>
  <si>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</si>
  <si>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</si>
  <si>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</si>
  <si>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</si>
  <si>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</si>
  <si>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</si>
  <si>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</si>
  <si>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</si>
  <si>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</si>
  <si>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</si>
  <si>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</si>
  <si>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</si>
  <si>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</si>
  <si>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</si>
  <si>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</si>
  <si>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</si>
  <si>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</si>
  <si>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</si>
  <si>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</si>
  <si>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</si>
  <si>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</si>
  <si>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</si>
  <si>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</si>
  <si>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</si>
  <si>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</si>
  <si>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</si>
  <si>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</si>
  <si>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</si>
  <si>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</si>
  <si>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</si>
  <si>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</si>
  <si>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</si>
  <si>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</si>
  <si>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</si>
  <si>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</si>
  <si>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</si>
  <si>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</si>
  <si>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</si>
  <si>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</si>
  <si>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</si>
  <si>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</si>
  <si>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</si>
  <si>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</si>
  <si>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</si>
  <si>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</si>
  <si>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</si>
  <si>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</si>
  <si>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</si>
  <si>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</si>
  <si>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</si>
  <si>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</si>
  <si>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</si>
  <si>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</si>
  <si>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</si>
  <si>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</si>
  <si>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</si>
  <si>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</si>
  <si>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</si>
  <si>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</si>
  <si>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</si>
  <si>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</si>
  <si>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</si>
  <si>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</si>
  <si>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</si>
  <si>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</si>
  <si>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</si>
  <si>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</si>
  <si>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</si>
  <si>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</si>
  <si>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</si>
  <si>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</si>
  <si>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</si>
  <si>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</si>
  <si>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</si>
  <si>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</si>
  <si>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</si>
  <si>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</si>
  <si>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</si>
  <si>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</si>
  <si>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</si>
  <si>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</si>
  <si>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</si>
  <si>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</si>
  <si>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</si>
  <si>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</si>
  <si>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</si>
  <si>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</si>
  <si>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</si>
  <si>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</si>
  <si>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</si>
  <si>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</si>
  <si>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</si>
  <si>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</si>
  <si>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</si>
  <si>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</si>
  <si>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</si>
  <si>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</si>
  <si>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</si>
  <si>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</si>
  <si>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</si>
  <si>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</si>
  <si>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</si>
  <si>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</si>
  <si>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</si>
  <si>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</si>
  <si>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</si>
  <si>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</si>
  <si>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</si>
  <si>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</si>
  <si>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</si>
  <si>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</si>
  <si>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</si>
  <si>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</si>
  <si>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</si>
  <si>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</si>
  <si>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</si>
  <si>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</si>
  <si>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</si>
  <si>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</si>
  <si>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</si>
  <si>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</si>
  <si>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</si>
  <si>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</si>
  <si>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</si>
  <si>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</si>
  <si>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</si>
  <si>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</si>
  <si>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</si>
  <si>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</si>
  <si>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</si>
  <si>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</si>
  <si>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</si>
  <si>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</si>
  <si>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</si>
  <si>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</si>
  <si>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</si>
  <si>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</si>
  <si>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</si>
  <si>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</si>
  <si>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</si>
  <si>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</si>
  <si>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</si>
  <si>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</si>
  <si>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</si>
  <si>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</si>
  <si>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</si>
  <si>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</si>
  <si>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</si>
  <si>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</si>
  <si>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</si>
  <si>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</si>
  <si>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</si>
  <si>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</si>
  <si>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</si>
  <si>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</si>
  <si>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</si>
  <si>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</si>
  <si>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</si>
  <si>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</si>
  <si>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</si>
  <si>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</si>
  <si>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</si>
  <si>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</si>
  <si>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</si>
  <si>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</si>
  <si>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</si>
  <si>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</si>
  <si>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</si>
  <si>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</si>
  <si>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</si>
  <si>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</si>
  <si>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</si>
  <si>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</si>
  <si>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</si>
  <si>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</si>
  <si>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</si>
  <si>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</si>
  <si>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</si>
  <si>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</si>
  <si>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</si>
  <si>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</si>
  <si>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</si>
  <si>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</si>
  <si>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</si>
  <si>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</si>
  <si>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</si>
  <si>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</si>
  <si>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</si>
  <si>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</si>
  <si>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</si>
  <si>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</si>
  <si>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</si>
  <si>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</si>
  <si>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</si>
  <si>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</si>
  <si>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</si>
  <si>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</si>
  <si>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</si>
  <si>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</si>
  <si>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</si>
  <si>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</si>
  <si>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</si>
  <si>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</si>
  <si>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</si>
  <si>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</si>
  <si>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</si>
  <si>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</si>
  <si>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</si>
  <si>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</si>
  <si>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</si>
  <si>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</si>
  <si>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</si>
  <si>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</si>
  <si>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</si>
  <si>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</si>
  <si>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</si>
  <si>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</si>
  <si>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</si>
  <si>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</si>
  <si>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</si>
  <si>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</si>
  <si>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</si>
  <si>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</si>
  <si>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</si>
  <si>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</si>
  <si>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</si>
  <si>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</si>
  <si>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</si>
  <si>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</si>
  <si>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</si>
  <si>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</si>
  <si>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</si>
  <si>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</si>
  <si>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</si>
  <si>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</si>
  <si>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</si>
  <si>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</si>
  <si>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</si>
  <si>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</si>
  <si>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</si>
  <si>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</si>
  <si>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</si>
  <si>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</si>
  <si>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</si>
  <si>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</si>
  <si>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</si>
  <si>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</si>
  <si>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</si>
  <si>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</si>
  <si>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</si>
  <si>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</si>
  <si>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</si>
  <si>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</si>
  <si>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</si>
  <si>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</si>
  <si>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</si>
  <si>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</si>
  <si>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</si>
  <si>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</si>
  <si>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</si>
  <si>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</si>
  <si>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</si>
  <si>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</si>
  <si>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</si>
  <si>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</si>
  <si>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</si>
  <si>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</si>
  <si>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</si>
  <si>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</si>
  <si>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</si>
  <si>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</si>
  <si>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</si>
  <si>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</si>
  <si>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</si>
  <si>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</si>
  <si>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</si>
  <si>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</si>
  <si>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</si>
  <si>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</si>
  <si>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</si>
  <si>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</si>
  <si>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</si>
  <si>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</si>
  <si>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</si>
  <si>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</si>
  <si>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</si>
  <si>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</si>
  <si>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</si>
  <si>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</si>
  <si>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</si>
  <si>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</si>
  <si>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</si>
  <si>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</si>
  <si>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</si>
  <si>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</si>
  <si>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</si>
  <si>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</si>
  <si>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</si>
  <si>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</si>
  <si>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</si>
  <si>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</si>
  <si>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</si>
  <si>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</si>
  <si>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</si>
  <si>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</si>
  <si>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</si>
  <si>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</si>
  <si>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</si>
  <si>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</si>
  <si>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</si>
  <si>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</si>
  <si>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</si>
  <si>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</si>
  <si>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</si>
  <si>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</si>
  <si>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</si>
  <si>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</si>
  <si>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</si>
  <si>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</si>
  <si>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</si>
  <si>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</si>
  <si>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</si>
  <si>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</si>
  <si>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</si>
  <si>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</si>
  <si>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</si>
  <si>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</si>
  <si>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</si>
  <si>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</si>
  <si>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</si>
  <si>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</si>
  <si>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</si>
  <si>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</si>
  <si>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</si>
  <si>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</si>
  <si>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</si>
  <si>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</si>
  <si>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</si>
  <si>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</si>
  <si>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</si>
  <si>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</si>
  <si>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</si>
  <si>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</si>
  <si>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</si>
  <si>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</si>
  <si>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</si>
  <si>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</si>
  <si>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</si>
  <si>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</si>
  <si>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</si>
  <si>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</si>
  <si>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</si>
  <si>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</si>
  <si>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</si>
  <si>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</si>
  <si>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</si>
  <si>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</si>
  <si>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</si>
  <si>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</si>
  <si>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</si>
  <si>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</si>
  <si>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</si>
  <si>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</si>
  <si>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</si>
  <si>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</si>
  <si>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</si>
  <si>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</si>
  <si>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</si>
  <si>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</si>
  <si>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</si>
  <si>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</si>
  <si>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</si>
  <si>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</si>
  <si>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</si>
  <si>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</si>
  <si>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</si>
  <si>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</si>
  <si>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</si>
  <si>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</si>
  <si>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</si>
  <si>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</si>
  <si>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</si>
  <si>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</si>
  <si>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</si>
  <si>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</si>
  <si>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</si>
  <si>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</si>
  <si>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</si>
  <si>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</si>
  <si>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</si>
  <si>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</si>
  <si>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</si>
  <si>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</si>
  <si>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</si>
  <si>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</si>
  <si>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</si>
  <si>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</si>
  <si>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</si>
  <si>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</si>
  <si>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</si>
  <si>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</si>
  <si>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</si>
  <si>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</si>
  <si>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</si>
  <si>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</si>
  <si>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</si>
  <si>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</si>
  <si>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</si>
  <si>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</si>
  <si>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</si>
  <si>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</si>
  <si>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</si>
  <si>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</si>
  <si>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</si>
  <si>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</si>
  <si>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</si>
  <si>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</si>
  <si>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</si>
  <si>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</si>
  <si>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</si>
  <si>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</si>
  <si>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</si>
  <si>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</si>
  <si>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</si>
  <si>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</si>
  <si>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</si>
  <si>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</si>
  <si>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</si>
  <si>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</si>
  <si>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</si>
  <si>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</si>
  <si>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</si>
  <si>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</si>
  <si>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</si>
  <si>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</si>
  <si>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</si>
  <si>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</si>
  <si>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</si>
  <si>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</si>
  <si>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</si>
  <si>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</si>
  <si>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</si>
  <si>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</si>
  <si>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</si>
  <si>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</si>
  <si>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</si>
  <si>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</si>
  <si>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</si>
  <si>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</si>
  <si>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</si>
  <si>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</si>
  <si>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</si>
  <si>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</si>
  <si>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</si>
  <si>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</si>
  <si>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</si>
  <si>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</si>
  <si>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</si>
  <si>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</si>
  <si>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</si>
  <si>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</si>
  <si>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</si>
  <si>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</si>
  <si>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</si>
  <si>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</si>
  <si>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</si>
  <si>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</si>
  <si>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</si>
  <si>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</si>
  <si>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</si>
  <si>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</si>
  <si>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</si>
  <si>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</si>
  <si>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</si>
  <si>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</si>
  <si>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</si>
  <si>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</si>
  <si>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</si>
  <si>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</si>
  <si>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</si>
  <si>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</si>
  <si>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</si>
  <si>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</si>
  <si>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</si>
  <si>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</si>
  <si>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</si>
  <si>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</si>
  <si>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</si>
  <si>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</si>
  <si>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</si>
  <si>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</si>
  <si>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</si>
  <si>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</si>
  <si>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</si>
  <si>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</si>
  <si>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</si>
  <si>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</si>
  <si>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</si>
  <si>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</si>
  <si>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</si>
  <si>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</si>
  <si>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</si>
  <si>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</si>
  <si>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</si>
  <si>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</si>
  <si>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</si>
  <si>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</si>
  <si>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</si>
  <si>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</si>
  <si>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</si>
  <si>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</si>
  <si>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</si>
  <si>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</si>
  <si>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</si>
  <si>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</si>
  <si>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</si>
  <si>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</si>
  <si>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</si>
  <si>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</si>
  <si>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</si>
  <si>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</si>
  <si>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</si>
  <si>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</si>
  <si>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</si>
  <si>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</si>
  <si>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</si>
  <si>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</si>
  <si>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</si>
  <si>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</si>
  <si>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</si>
  <si>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</si>
  <si>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</si>
  <si>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</si>
  <si>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</si>
  <si>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</si>
  <si>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</si>
  <si>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</si>
  <si>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</si>
  <si>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</si>
  <si>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</si>
  <si>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</si>
  <si>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</si>
  <si>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</si>
  <si>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</si>
  <si>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</si>
  <si>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</si>
  <si>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</si>
  <si>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</si>
  <si>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</si>
  <si>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</si>
  <si>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</si>
  <si>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</si>
  <si>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</si>
  <si>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</si>
  <si>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</si>
  <si>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</si>
  <si>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</si>
  <si>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</si>
  <si>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</si>
  <si>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</si>
  <si>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</si>
  <si>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</si>
  <si>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</si>
  <si>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</si>
  <si>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</si>
  <si>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</si>
  <si>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</si>
  <si>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</si>
  <si>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</si>
  <si>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</si>
  <si>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</si>
  <si>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</si>
  <si>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</si>
  <si>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</si>
  <si>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</si>
  <si>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</si>
  <si>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</si>
  <si>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</si>
  <si>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</si>
  <si>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</si>
  <si>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</si>
  <si>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</si>
  <si>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</si>
  <si>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</si>
  <si>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</si>
  <si>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</si>
  <si>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</si>
  <si>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</si>
  <si>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</si>
  <si>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</si>
  <si>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</si>
  <si>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</si>
  <si>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</si>
  <si>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</si>
  <si>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</si>
  <si>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</si>
  <si>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</si>
  <si>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</si>
  <si>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</si>
  <si>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</si>
  <si>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</si>
  <si>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</si>
  <si>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</si>
  <si>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</si>
  <si>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</si>
  <si>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</si>
  <si>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</si>
  <si>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</si>
  <si>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</si>
  <si>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</si>
  <si>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</si>
  <si>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</si>
  <si>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</si>
  <si>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</si>
  <si>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</si>
  <si>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</si>
  <si>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</si>
  <si>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</si>
  <si>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</si>
  <si>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</si>
  <si>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</si>
  <si>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</si>
  <si>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</si>
  <si>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</si>
  <si>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</si>
  <si>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</si>
  <si>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</si>
  <si>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</si>
  <si>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</si>
  <si>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</si>
  <si>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</si>
  <si>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</si>
  <si>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</si>
  <si>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</si>
  <si>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</si>
  <si>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</si>
  <si>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</si>
  <si>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</si>
  <si>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</si>
  <si>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</si>
  <si>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</si>
  <si>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</si>
  <si>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</si>
  <si>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</si>
  <si>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</si>
  <si>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</si>
  <si>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</si>
  <si>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</si>
  <si>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</si>
  <si>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</si>
  <si>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</si>
  <si>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</si>
  <si>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</si>
  <si>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</si>
  <si>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</si>
  <si>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</si>
  <si>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</si>
  <si>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</si>
  <si>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</si>
  <si>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</si>
  <si>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</si>
  <si>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</si>
  <si>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</si>
  <si>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</si>
  <si>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</si>
  <si>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</si>
  <si>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</si>
  <si>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</si>
  <si>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</si>
  <si>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</si>
  <si>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</si>
  <si>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</si>
  <si>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</si>
  <si>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</si>
  <si>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</si>
  <si>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</si>
  <si>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</si>
  <si>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</si>
  <si>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</si>
  <si>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</si>
  <si>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</si>
  <si>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</si>
  <si>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</si>
  <si>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</si>
  <si>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</si>
  <si>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</si>
  <si>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</si>
  <si>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</si>
  <si>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</si>
  <si>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</si>
  <si>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</si>
  <si>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</si>
  <si>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</si>
  <si>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</si>
  <si>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</si>
  <si>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</si>
  <si>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</si>
  <si>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</si>
  <si>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</si>
  <si>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</si>
  <si>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</si>
  <si>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</si>
  <si>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</si>
  <si>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</si>
  <si>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</si>
  <si>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</si>
  <si>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</si>
  <si>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</si>
  <si>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</si>
  <si>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</si>
  <si>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</si>
  <si>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</si>
  <si>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</si>
  <si>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</si>
  <si>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</si>
  <si>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</si>
  <si>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</si>
  <si>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</si>
  <si>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</si>
  <si>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</si>
  <si>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</si>
  <si>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</si>
  <si>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</si>
  <si>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</si>
  <si>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</si>
  <si>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</si>
  <si>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</si>
  <si>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</si>
  <si>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</si>
  <si>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</si>
  <si>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</si>
  <si>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</si>
  <si>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</si>
  <si>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</si>
  <si>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</si>
  <si>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</si>
  <si>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</si>
  <si>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</si>
  <si>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</si>
  <si>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</si>
  <si>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</si>
  <si>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</si>
  <si>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</si>
  <si>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</si>
  <si>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</si>
  <si>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</si>
  <si>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</si>
  <si>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</si>
  <si>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</si>
  <si>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</si>
  <si>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</si>
  <si>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</si>
  <si>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</si>
  <si>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</si>
  <si>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</si>
  <si>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</si>
  <si>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</si>
  <si>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</si>
  <si>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</si>
  <si>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</si>
  <si>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</si>
  <si>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</si>
  <si>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</si>
  <si>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</si>
  <si>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</si>
  <si>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</si>
  <si>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</si>
  <si>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</si>
  <si>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</si>
  <si>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</si>
  <si>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</si>
  <si>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</si>
  <si>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</si>
  <si>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</si>
  <si>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</si>
  <si>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</si>
  <si>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</si>
  <si>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</si>
  <si>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</si>
  <si>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</si>
  <si>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</si>
  <si>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</si>
  <si>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</si>
  <si>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</si>
  <si>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</si>
  <si>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</si>
  <si>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</si>
  <si>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</si>
  <si>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</si>
  <si>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</si>
  <si>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</si>
  <si>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</si>
  <si>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</si>
  <si>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</si>
  <si>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</si>
  <si>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</si>
  <si>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</si>
  <si>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</si>
  <si>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</si>
  <si>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</si>
  <si>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</si>
  <si>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</si>
  <si>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</si>
  <si>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</si>
  <si>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</si>
  <si>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</si>
  <si>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</si>
  <si>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</si>
  <si>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</si>
  <si>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</si>
  <si>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</si>
  <si>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</si>
  <si>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</si>
  <si>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</si>
  <si>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</si>
  <si>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</si>
  <si>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</si>
  <si>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</si>
  <si>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</si>
  <si>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</si>
  <si>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</si>
  <si>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</si>
  <si>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</si>
  <si>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</si>
  <si>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</si>
  <si>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</si>
  <si>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</si>
  <si>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</si>
  <si>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</si>
  <si>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</si>
  <si>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</si>
  <si>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</si>
  <si>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</si>
  <si>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</si>
  <si>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</si>
  <si>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</si>
  <si>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</si>
  <si>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</si>
  <si>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</si>
  <si>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</si>
  <si>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</si>
  <si>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</si>
  <si>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</si>
  <si>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</si>
  <si>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</si>
  <si>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</si>
  <si>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</si>
  <si>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</si>
  <si>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</si>
  <si>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</si>
  <si>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</si>
  <si>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</si>
  <si>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</si>
  <si>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</si>
  <si>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</si>
  <si>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</si>
  <si>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</si>
  <si>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</si>
  <si>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</si>
  <si>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</si>
  <si>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</si>
  <si>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</si>
  <si>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</si>
  <si>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</si>
  <si>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</si>
  <si>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</si>
  <si>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</si>
  <si>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</si>
  <si>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</si>
  <si>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</si>
  <si>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</si>
  <si>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</si>
  <si>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</si>
  <si>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</si>
  <si>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</si>
  <si>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</si>
  <si>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</si>
  <si>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</si>
  <si>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</si>
  <si>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</si>
  <si>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</si>
  <si>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</si>
  <si>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</si>
  <si>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</si>
  <si>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</si>
  <si>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</si>
  <si>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</si>
  <si>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</si>
  <si>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</si>
  <si>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</si>
  <si>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</si>
  <si>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</si>
  <si>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</si>
  <si>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</si>
  <si>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</si>
  <si>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</si>
  <si>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</si>
  <si>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</si>
  <si>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</si>
  <si>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</si>
  <si>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</si>
  <si>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</si>
  <si>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</si>
  <si>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</si>
  <si>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</si>
  <si>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</si>
  <si>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</si>
  <si>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</si>
  <si>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</si>
  <si>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</si>
  <si>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</si>
  <si>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</si>
  <si>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</si>
  <si>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</si>
  <si>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</si>
  <si>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</si>
  <si>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</si>
  <si>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</si>
  <si>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</si>
  <si>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</si>
  <si>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</si>
  <si>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</si>
  <si>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</si>
  <si>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</si>
  <si>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</si>
  <si>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</si>
  <si>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</si>
  <si>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</si>
  <si>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</si>
  <si>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</si>
  <si>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</si>
  <si>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</si>
  <si>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</si>
  <si>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</si>
  <si>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</si>
  <si>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</si>
  <si>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</si>
  <si>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</si>
  <si>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</si>
  <si>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</si>
  <si>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</si>
  <si>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</si>
  <si>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</si>
  <si>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</si>
  <si>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</si>
  <si>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</si>
  <si>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</si>
  <si>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</si>
  <si>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</si>
  <si>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</si>
  <si>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</si>
  <si>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</si>
  <si>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</si>
  <si>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</si>
  <si>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</si>
  <si>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</si>
  <si>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</si>
  <si>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</si>
  <si>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</si>
  <si>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</si>
  <si>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</si>
  <si>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</si>
  <si>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</si>
  <si>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</si>
  <si>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</si>
  <si>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</si>
  <si>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</si>
  <si>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</si>
  <si>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</si>
  <si>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</si>
  <si>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</si>
  <si>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</si>
  <si>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</si>
  <si>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</si>
  <si>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</si>
  <si>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</si>
  <si>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</si>
  <si>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</si>
  <si>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</si>
  <si>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</si>
  <si>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</si>
  <si>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</si>
  <si>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</si>
  <si>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</si>
  <si>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</si>
  <si>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</si>
  <si>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</si>
  <si>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</si>
  <si>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</si>
  <si>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</si>
  <si>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</si>
  <si>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</si>
  <si>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</si>
  <si>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</si>
  <si>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</si>
  <si>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</si>
  <si>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</si>
  <si>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</si>
  <si>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</si>
  <si>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</si>
  <si>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</si>
  <si>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</si>
  <si>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</si>
  <si>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</si>
  <si>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</si>
  <si>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</si>
  <si>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</si>
  <si>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</si>
  <si>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</si>
  <si>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</si>
  <si>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</si>
  <si>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</si>
  <si>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</si>
  <si>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</si>
  <si>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</si>
  <si>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</si>
  <si>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</si>
  <si>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</si>
  <si>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</si>
  <si>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</si>
  <si>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</si>
  <si>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</si>
  <si>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</si>
  <si>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</si>
  <si>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</si>
  <si>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</si>
  <si>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</si>
  <si>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</si>
  <si>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</si>
  <si>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</si>
  <si>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</si>
  <si>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</si>
  <si>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</si>
  <si>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</si>
  <si>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</si>
  <si>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</si>
  <si>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</si>
  <si>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</si>
  <si>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</si>
  <si>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</si>
  <si>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</si>
  <si>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</si>
  <si>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</si>
  <si>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</si>
  <si>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</si>
  <si>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</si>
  <si>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</si>
  <si>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</si>
  <si>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</si>
  <si>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</si>
  <si>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</si>
  <si>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</si>
  <si>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</si>
  <si>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</si>
  <si>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</si>
  <si>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</si>
  <si>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</si>
  <si>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</si>
  <si>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</si>
  <si>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</si>
  <si>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</si>
  <si>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</si>
  <si>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</si>
  <si>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</si>
  <si>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</si>
  <si>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</si>
  <si>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</si>
  <si>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</si>
  <si>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</si>
  <si>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</si>
  <si>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</si>
  <si>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</si>
  <si>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</si>
  <si>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</si>
  <si>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</si>
  <si>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</si>
  <si>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</si>
  <si>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</si>
  <si>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</si>
  <si>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</si>
  <si>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</si>
  <si>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</si>
  <si>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</si>
  <si>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</si>
  <si>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</si>
  <si>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</si>
  <si>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</si>
  <si>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</si>
  <si>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</si>
  <si>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</si>
  <si>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</si>
  <si>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</si>
  <si>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</si>
  <si>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</si>
  <si>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</si>
  <si>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</si>
  <si>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</si>
  <si>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</si>
  <si>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</si>
  <si>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</si>
  <si>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</si>
  <si>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</si>
  <si>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</si>
  <si>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</si>
  <si>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</si>
  <si>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</si>
  <si>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</si>
  <si>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</si>
  <si>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</si>
  <si>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</si>
  <si>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</si>
  <si>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</si>
  <si>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</si>
  <si>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</si>
  <si>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</si>
  <si>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</si>
  <si>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</si>
  <si>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</si>
  <si>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</si>
  <si>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</si>
  <si>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</si>
  <si>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</si>
  <si>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</si>
  <si>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</si>
  <si>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</si>
  <si>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</si>
  <si>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</si>
  <si>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</si>
  <si>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</si>
  <si>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</si>
  <si>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</si>
  <si>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</si>
  <si>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</si>
  <si>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</si>
  <si>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</si>
  <si>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</si>
  <si>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</si>
  <si>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</si>
  <si>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</si>
  <si>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</si>
  <si>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</si>
  <si>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</si>
  <si>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</si>
  <si>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</si>
  <si>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</si>
  <si>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</si>
  <si>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</si>
  <si>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</si>
  <si>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</si>
  <si>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</si>
  <si>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</si>
  <si>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</si>
  <si>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</si>
  <si>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</si>
  <si>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</si>
  <si>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</si>
  <si>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</si>
  <si>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</si>
  <si>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</si>
  <si>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</si>
  <si>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</si>
  <si>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</si>
  <si>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</si>
  <si>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</si>
  <si>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</si>
  <si>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</si>
  <si>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</si>
  <si>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</si>
  <si>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</si>
  <si>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</si>
  <si>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</si>
  <si>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</si>
  <si>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</si>
  <si>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</si>
  <si>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</si>
  <si>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</si>
  <si>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</si>
  <si>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</si>
  <si>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</si>
  <si>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</si>
  <si>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</si>
  <si>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</si>
  <si>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</si>
  <si>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</si>
  <si>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</si>
  <si>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</si>
  <si>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</si>
  <si>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</si>
  <si>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</si>
  <si>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</si>
  <si>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</si>
  <si>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</si>
  <si>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</si>
  <si>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</si>
  <si>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</si>
  <si>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</si>
  <si>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</si>
  <si>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</si>
  <si>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</si>
  <si>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</si>
  <si>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</si>
  <si>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</si>
  <si>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</si>
  <si>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</si>
  <si>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</si>
  <si>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</si>
  <si>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</si>
  <si>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</si>
  <si>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</si>
  <si>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</si>
  <si>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</si>
  <si>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</si>
  <si>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</si>
  <si>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</si>
  <si>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</si>
  <si>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</si>
  <si>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</si>
  <si>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</si>
  <si>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</si>
  <si>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</si>
  <si>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</si>
  <si>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</si>
  <si>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</si>
  <si>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</si>
  <si>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</si>
  <si>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</si>
  <si>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</si>
  <si>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</si>
  <si>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</si>
  <si>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</si>
  <si>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</si>
  <si>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</si>
  <si>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</si>
  <si>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</si>
  <si>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</si>
  <si>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</si>
  <si>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</si>
  <si>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</si>
  <si>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</si>
  <si>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</si>
  <si>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</si>
  <si>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</si>
  <si>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</si>
  <si>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</si>
  <si>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</si>
  <si>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</si>
  <si>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</si>
  <si>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</si>
  <si>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</si>
  <si>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</si>
  <si>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</si>
  <si>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</si>
  <si>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</si>
  <si>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</si>
  <si>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</si>
  <si>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</si>
  <si>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</si>
  <si>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</si>
  <si>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</si>
  <si>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</si>
  <si>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</si>
  <si>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</si>
  <si>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</si>
  <si>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</si>
  <si>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</si>
  <si>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</si>
  <si>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</si>
  <si>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</si>
  <si>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</si>
  <si>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</si>
  <si>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</si>
  <si>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</si>
  <si>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</si>
  <si>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</si>
  <si>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</si>
  <si>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</si>
  <si>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</si>
  <si>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</si>
  <si>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</si>
  <si>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</si>
  <si>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</si>
  <si>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</si>
  <si>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</si>
  <si>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</si>
  <si>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</si>
  <si>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</si>
  <si>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</si>
  <si>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</si>
  <si>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</si>
  <si>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</si>
  <si>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</si>
  <si>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</si>
  <si>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</si>
  <si>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</si>
  <si>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</si>
  <si>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</si>
  <si>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</si>
  <si>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Harwin plc</t>
  </si>
  <si>
    <t>226130680</t>
  </si>
  <si>
    <t>DUNS</t>
  </si>
  <si>
    <t>Fitzherbert Road, Farlington, Portsmouth, Hampshire. PO6 1RT. United Kingdom.</t>
  </si>
  <si>
    <t>Martin J Perry</t>
  </si>
  <si>
    <t>complianceteam@harwin.co.uk</t>
  </si>
  <si>
    <t>+44 (0)23 9231 4520</t>
  </si>
  <si>
    <t>Mark Plested</t>
  </si>
  <si>
    <t>Senior Design Engineer</t>
  </si>
  <si>
    <t>Cobalt is used in the Gold and Zinc plating of some of our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</si>
</sst>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E17" sqref="E17"/>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ht="22.5">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67.5">
      <c r="A14" s="338"/>
      <c r="B14" s="228">
        <v>1.1000000000000001</v>
      </c>
      <c r="C14" s="229" t="s">
        <v>11928</v>
      </c>
      <c r="D14" s="252">
        <v>43455</v>
      </c>
      <c r="E14" s="230" t="s">
        <v>12753</v>
      </c>
      <c r="F14" s="230" t="s">
        <v>12527</v>
      </c>
      <c r="G14" s="28"/>
    </row>
    <row r="15" spans="1:7" ht="67.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3.5" thickBot="1">
      <c r="A18" s="339"/>
      <c r="B18" s="340" t="str">
        <f ca="1">OFFSET(L!$C$1,MATCH("General"&amp;"Cpy",L!$A:$A,0)-1,SL,,)</f>
        <v>© 2020 Responsible Minerals Initiative. All rights reserved.</v>
      </c>
      <c r="C18" s="340"/>
      <c r="D18" s="340"/>
      <c r="E18" s="340"/>
      <c r="F18" s="340"/>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3.5" thickBot="1">
      <c r="A22" s="236"/>
      <c r="B22" s="237"/>
      <c r="C22" s="237"/>
      <c r="D22" s="349"/>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80" zoomScaleNormal="80" workbookViewId="0">
      <selection activeCell="D8" sqref="D8:J8"/>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6"/>
      <c r="B1" s="387"/>
      <c r="C1" s="387"/>
      <c r="D1" s="387"/>
      <c r="E1" s="387"/>
      <c r="F1" s="387"/>
      <c r="G1" s="387"/>
      <c r="H1" s="387"/>
      <c r="I1" s="387"/>
      <c r="J1" s="387"/>
      <c r="K1" s="388"/>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9" t="str">
        <f ca="1">OFFSET(L!$C$1,MATCH("Declaration"&amp;ADDRESS(ROW(),COLUMN(),4),L!$A:$A,0)-1,SL,,)</f>
        <v>Cobalt Reporting Template (CRT)</v>
      </c>
      <c r="E2" s="390"/>
      <c r="F2" s="390"/>
      <c r="G2" s="390"/>
      <c r="H2" s="390"/>
      <c r="I2" s="390"/>
      <c r="J2" s="391"/>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06"/>
      <c r="F3" s="407"/>
      <c r="G3" s="407"/>
      <c r="H3" s="407"/>
      <c r="I3" s="407"/>
      <c r="J3" s="254" t="s">
        <v>14039</v>
      </c>
      <c r="K3" s="35"/>
      <c r="L3" s="120"/>
      <c r="M3" s="111"/>
      <c r="N3" s="111"/>
      <c r="O3" s="112"/>
      <c r="P3" s="125">
        <f>MATCH($D$3,LN,0)</f>
        <v>1</v>
      </c>
    </row>
    <row r="4" spans="1:34" ht="15.75">
      <c r="A4" s="33"/>
      <c r="B4" s="369" t="str">
        <f ca="1">OFFSET(L!$C$1,MATCH("Declaration"&amp;ADDRESS(ROW(),COLUMN(),4),L!$A:$A,0)-1,SL,,)</f>
        <v>The purpose of this document is to collect sourcing information on cobalt.</v>
      </c>
      <c r="C4" s="369"/>
      <c r="D4" s="369"/>
      <c r="E4" s="369"/>
      <c r="F4" s="369"/>
      <c r="G4" s="369"/>
      <c r="H4" s="369"/>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2" t="s">
        <v>14040</v>
      </c>
      <c r="E8" s="393"/>
      <c r="F8" s="393"/>
      <c r="G8" s="393"/>
      <c r="H8" s="393"/>
      <c r="I8" s="393"/>
      <c r="J8" s="394"/>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75" t="s">
        <v>385</v>
      </c>
      <c r="E9" s="376"/>
      <c r="F9" s="376"/>
      <c r="G9" s="377"/>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5"/>
      <c r="E10" s="396"/>
      <c r="F10" s="396"/>
      <c r="G10" s="396"/>
      <c r="H10" s="396"/>
      <c r="I10" s="396"/>
      <c r="J10" s="397"/>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1" t="s">
        <v>14041</v>
      </c>
      <c r="E12" s="372"/>
      <c r="F12" s="372"/>
      <c r="G12" s="372"/>
      <c r="H12" s="372"/>
      <c r="I12" s="372"/>
      <c r="J12" s="373"/>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1" t="s">
        <v>14042</v>
      </c>
      <c r="E13" s="372"/>
      <c r="F13" s="372"/>
      <c r="G13" s="372"/>
      <c r="H13" s="372"/>
      <c r="I13" s="372"/>
      <c r="J13" s="373"/>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1" t="s">
        <v>14043</v>
      </c>
      <c r="E14" s="372"/>
      <c r="F14" s="372"/>
      <c r="G14" s="372"/>
      <c r="H14" s="372"/>
      <c r="I14" s="372"/>
      <c r="J14" s="373"/>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1" t="s">
        <v>14044</v>
      </c>
      <c r="E15" s="372"/>
      <c r="F15" s="372"/>
      <c r="G15" s="372"/>
      <c r="H15" s="372"/>
      <c r="I15" s="372"/>
      <c r="J15" s="373"/>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10" t="s">
        <v>14045</v>
      </c>
      <c r="E16" s="372"/>
      <c r="F16" s="372"/>
      <c r="G16" s="372"/>
      <c r="H16" s="372"/>
      <c r="I16" s="372"/>
      <c r="J16" s="373"/>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1" t="s">
        <v>14046</v>
      </c>
      <c r="E17" s="372"/>
      <c r="F17" s="372"/>
      <c r="G17" s="372"/>
      <c r="H17" s="372"/>
      <c r="I17" s="372"/>
      <c r="J17" s="373"/>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1" t="s">
        <v>14047</v>
      </c>
      <c r="E18" s="372"/>
      <c r="F18" s="372"/>
      <c r="G18" s="372"/>
      <c r="H18" s="372"/>
      <c r="I18" s="372"/>
      <c r="J18" s="373"/>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1" t="s">
        <v>14048</v>
      </c>
      <c r="E19" s="372"/>
      <c r="F19" s="372"/>
      <c r="G19" s="372"/>
      <c r="H19" s="372"/>
      <c r="I19" s="372"/>
      <c r="J19" s="373"/>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10" t="s">
        <v>14045</v>
      </c>
      <c r="E20" s="372"/>
      <c r="F20" s="372"/>
      <c r="G20" s="372"/>
      <c r="H20" s="372"/>
      <c r="I20" s="372"/>
      <c r="J20" s="373"/>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71" t="s">
        <v>14046</v>
      </c>
      <c r="E21" s="372"/>
      <c r="F21" s="372"/>
      <c r="G21" s="372"/>
      <c r="H21" s="372"/>
      <c r="I21" s="372"/>
      <c r="J21" s="373"/>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78">
        <v>44026</v>
      </c>
      <c r="E22" s="379"/>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4"/>
      <c r="E23" s="374"/>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5" t="str">
        <f ca="1">OFFSET(L!$C$1,MATCH("Declaration"&amp;ADDRESS(ROW(),COLUMN(),4),L!$A:$A,0)-1,SL,,)</f>
        <v>Answer the following questions 1 - 6 based on the declaration scope indicated above</v>
      </c>
      <c r="C24" s="405"/>
      <c r="D24" s="405"/>
      <c r="E24" s="405"/>
      <c r="F24" s="405"/>
      <c r="G24" s="405"/>
      <c r="H24" s="405"/>
      <c r="I24" s="405"/>
      <c r="J24" s="40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68" t="str">
        <f ca="1">OFFSET(L!$C$1,MATCH("Declaration"&amp;ADDRESS(ROW(),COLUMN(),4),L!$A:$A,0)-1,SL,,)</f>
        <v>Answer</v>
      </c>
      <c r="E25" s="368"/>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6" t="s">
        <v>379</v>
      </c>
      <c r="E26" s="357"/>
      <c r="F26" s="10"/>
      <c r="G26" s="352" t="s">
        <v>14049</v>
      </c>
      <c r="H26" s="353"/>
      <c r="I26" s="353"/>
      <c r="J26" s="35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8" t="s">
        <v>380</v>
      </c>
      <c r="E27" s="359"/>
      <c r="F27" s="10"/>
      <c r="G27" s="352"/>
      <c r="H27" s="353"/>
      <c r="I27" s="353"/>
      <c r="J27" s="35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8" t="s">
        <v>380</v>
      </c>
      <c r="E28" s="359"/>
      <c r="F28" s="10"/>
      <c r="G28" s="352"/>
      <c r="H28" s="353"/>
      <c r="I28" s="353"/>
      <c r="J28" s="35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8" t="s">
        <v>380</v>
      </c>
      <c r="E29" s="359"/>
      <c r="F29" s="10"/>
      <c r="G29" s="352"/>
      <c r="H29" s="353"/>
      <c r="I29" s="353"/>
      <c r="J29" s="35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3" t="str">
        <f ca="1">D25</f>
        <v>Answer</v>
      </c>
      <c r="E31" s="383"/>
      <c r="F31" s="16"/>
      <c r="G31" s="43" t="str">
        <f ca="1">G25</f>
        <v>Comments</v>
      </c>
      <c r="H31" s="370"/>
      <c r="I31" s="370"/>
      <c r="J31" s="370"/>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6" t="s">
        <v>381</v>
      </c>
      <c r="E32" s="357"/>
      <c r="F32" s="46"/>
      <c r="G32" s="352"/>
      <c r="H32" s="353"/>
      <c r="I32" s="353"/>
      <c r="J32" s="35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8"/>
      <c r="E33" s="359"/>
      <c r="F33" s="46"/>
      <c r="G33" s="352"/>
      <c r="H33" s="353"/>
      <c r="I33" s="353"/>
      <c r="J33" s="35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6"/>
      <c r="E34" s="357"/>
      <c r="F34" s="46"/>
      <c r="G34" s="352"/>
      <c r="H34" s="353"/>
      <c r="I34" s="353"/>
      <c r="J34" s="35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6"/>
      <c r="E35" s="357"/>
      <c r="F35" s="46"/>
      <c r="G35" s="352"/>
      <c r="H35" s="353"/>
      <c r="I35" s="353"/>
      <c r="J35" s="35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83" t="str">
        <f ca="1">D25</f>
        <v>Answer</v>
      </c>
      <c r="E37" s="383"/>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6" t="s">
        <v>381</v>
      </c>
      <c r="E38" s="357"/>
      <c r="F38" s="46"/>
      <c r="G38" s="352"/>
      <c r="H38" s="353"/>
      <c r="I38" s="353"/>
      <c r="J38" s="35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8"/>
      <c r="E39" s="359"/>
      <c r="F39" s="46"/>
      <c r="G39" s="352"/>
      <c r="H39" s="353"/>
      <c r="I39" s="353"/>
      <c r="J39" s="35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8"/>
      <c r="E40" s="359"/>
      <c r="F40" s="46"/>
      <c r="G40" s="352"/>
      <c r="H40" s="353"/>
      <c r="I40" s="353"/>
      <c r="J40" s="35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8"/>
      <c r="E41" s="359"/>
      <c r="F41" s="46"/>
      <c r="G41" s="352"/>
      <c r="H41" s="353"/>
      <c r="I41" s="353"/>
      <c r="J41" s="35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3" t="str">
        <f ca="1">D25</f>
        <v>Answer</v>
      </c>
      <c r="E43" s="383"/>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08" t="s">
        <v>382</v>
      </c>
      <c r="E44" s="409"/>
      <c r="F44" s="46"/>
      <c r="G44" s="352"/>
      <c r="H44" s="353"/>
      <c r="I44" s="353"/>
      <c r="J44" s="35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0"/>
      <c r="E45" s="381"/>
      <c r="F45" s="46"/>
      <c r="G45" s="352"/>
      <c r="H45" s="353"/>
      <c r="I45" s="353"/>
      <c r="J45" s="35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0"/>
      <c r="E46" s="381"/>
      <c r="F46" s="46"/>
      <c r="G46" s="352"/>
      <c r="H46" s="353"/>
      <c r="I46" s="353"/>
      <c r="J46" s="35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0"/>
      <c r="E47" s="381"/>
      <c r="F47" s="46"/>
      <c r="G47" s="352"/>
      <c r="H47" s="353"/>
      <c r="I47" s="353"/>
      <c r="J47" s="35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3" t="str">
        <f ca="1">D25</f>
        <v>Answer</v>
      </c>
      <c r="E49" s="383"/>
      <c r="F49" s="16"/>
      <c r="G49" s="43" t="str">
        <f ca="1">G25</f>
        <v>Comments</v>
      </c>
      <c r="H49" s="382"/>
      <c r="I49" s="382"/>
      <c r="J49" s="382"/>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4" t="s">
        <v>380</v>
      </c>
      <c r="E50" s="385"/>
      <c r="F50" s="46"/>
      <c r="G50" s="352"/>
      <c r="H50" s="353"/>
      <c r="I50" s="353"/>
      <c r="J50" s="35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8"/>
      <c r="E51" s="359"/>
      <c r="F51" s="46"/>
      <c r="G51" s="352"/>
      <c r="H51" s="353"/>
      <c r="I51" s="353"/>
      <c r="J51" s="35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8"/>
      <c r="E52" s="359"/>
      <c r="F52" s="46"/>
      <c r="G52" s="352"/>
      <c r="H52" s="353"/>
      <c r="I52" s="353"/>
      <c r="J52" s="35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8"/>
      <c r="E53" s="359"/>
      <c r="F53" s="46"/>
      <c r="G53" s="352"/>
      <c r="H53" s="353"/>
      <c r="I53" s="353"/>
      <c r="J53" s="35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3" t="str">
        <f ca="1">D25</f>
        <v>Answer</v>
      </c>
      <c r="E55" s="383"/>
      <c r="F55" s="16"/>
      <c r="G55" s="43" t="str">
        <f ca="1">G25</f>
        <v>Comments</v>
      </c>
      <c r="H55" s="382" t="str">
        <f>IF(Q63="(*)","Click here to enter smelter names","")</f>
        <v/>
      </c>
      <c r="I55" s="382"/>
      <c r="J55" s="382"/>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6" t="s">
        <v>381</v>
      </c>
      <c r="E56" s="357"/>
      <c r="F56" s="47"/>
      <c r="G56" s="352"/>
      <c r="H56" s="353"/>
      <c r="I56" s="353"/>
      <c r="J56" s="35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8"/>
      <c r="E57" s="359"/>
      <c r="F57" s="47"/>
      <c r="G57" s="352"/>
      <c r="H57" s="353"/>
      <c r="I57" s="353"/>
      <c r="J57" s="35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8"/>
      <c r="E58" s="359"/>
      <c r="F58" s="47"/>
      <c r="G58" s="352"/>
      <c r="H58" s="353"/>
      <c r="I58" s="353"/>
      <c r="J58" s="35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8"/>
      <c r="E59" s="359"/>
      <c r="F59" s="49"/>
      <c r="G59" s="352"/>
      <c r="H59" s="353"/>
      <c r="I59" s="353"/>
      <c r="J59" s="35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0" t="str">
        <f ca="1">OFFSET(L!$C$1,MATCH("Declaration"&amp;ADDRESS(ROW(),COLUMN(),4),L!$A:$A,0)-1,SL,,)</f>
        <v>Answer the Following Questions at a Company Level</v>
      </c>
      <c r="C61" s="360"/>
      <c r="D61" s="360"/>
      <c r="E61" s="360"/>
      <c r="F61" s="360"/>
      <c r="G61" s="360"/>
      <c r="H61" s="360"/>
      <c r="I61" s="360"/>
      <c r="J61" s="360"/>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68" t="str">
        <f ca="1">D25</f>
        <v>Answer</v>
      </c>
      <c r="E62" s="368"/>
      <c r="F62" s="52"/>
      <c r="G62" s="368" t="str">
        <f ca="1">G25</f>
        <v>Comments</v>
      </c>
      <c r="H62" s="368" t="e">
        <f>HLOOKUP(SL,LT,$O62,0)</f>
        <v>#NAME?</v>
      </c>
      <c r="I62" s="368"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6" t="s">
        <v>380</v>
      </c>
      <c r="E63" s="357"/>
      <c r="F63" s="56"/>
      <c r="G63" s="352"/>
      <c r="H63" s="353"/>
      <c r="I63" s="353"/>
      <c r="J63" s="354"/>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3"/>
      <c r="H64" s="363"/>
      <c r="I64" s="363"/>
      <c r="J64" s="36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56" t="s">
        <v>380</v>
      </c>
      <c r="E65" s="357"/>
      <c r="F65" s="56"/>
      <c r="G65" s="365"/>
      <c r="H65" s="366"/>
      <c r="I65" s="366"/>
      <c r="J65" s="367"/>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56" t="s">
        <v>380</v>
      </c>
      <c r="E67" s="357"/>
      <c r="F67" s="56"/>
      <c r="G67" s="352"/>
      <c r="H67" s="353"/>
      <c r="I67" s="353"/>
      <c r="J67" s="354"/>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56" t="s">
        <v>380</v>
      </c>
      <c r="E69" s="357"/>
      <c r="F69" s="56"/>
      <c r="G69" s="352"/>
      <c r="H69" s="353"/>
      <c r="I69" s="353"/>
      <c r="J69" s="354"/>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56" t="s">
        <v>380</v>
      </c>
      <c r="E71" s="357"/>
      <c r="F71" s="56"/>
      <c r="G71" s="352"/>
      <c r="H71" s="353"/>
      <c r="I71" s="353"/>
      <c r="J71" s="354"/>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61" t="s">
        <v>380</v>
      </c>
      <c r="E73" s="362"/>
      <c r="F73" s="56"/>
      <c r="G73" s="352"/>
      <c r="H73" s="353"/>
      <c r="I73" s="353"/>
      <c r="J73" s="354"/>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3"/>
      <c r="H74" s="363"/>
      <c r="I74" s="363"/>
      <c r="J74" s="36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56" t="s">
        <v>380</v>
      </c>
      <c r="E75" s="357"/>
      <c r="F75" s="56"/>
      <c r="G75" s="352"/>
      <c r="H75" s="353"/>
      <c r="I75" s="353"/>
      <c r="J75" s="354"/>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4"/>
      <c r="H76" s="364"/>
      <c r="I76" s="364"/>
      <c r="J76" s="36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56" t="s">
        <v>380</v>
      </c>
      <c r="E77" s="357"/>
      <c r="F77" s="56"/>
      <c r="G77" s="352"/>
      <c r="H77" s="353"/>
      <c r="I77" s="353"/>
      <c r="J77" s="354"/>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56" t="s">
        <v>380</v>
      </c>
      <c r="E79" s="357"/>
      <c r="F79" s="56"/>
      <c r="G79" s="352"/>
      <c r="H79" s="353"/>
      <c r="I79" s="353"/>
      <c r="J79" s="354"/>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5" t="str">
        <f>IF(OR($D$8="",$I$3=""),"","Click here to check required fields completion")</f>
        <v/>
      </c>
      <c r="C80" s="355"/>
      <c r="D80" s="355"/>
      <c r="E80" s="355"/>
      <c r="F80" s="355"/>
      <c r="G80" s="355"/>
      <c r="H80" s="355"/>
      <c r="I80" s="355"/>
      <c r="J80" s="355"/>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0" t="str">
        <f ca="1">OFFSET(L!$C$1,MATCH("General"&amp;"Cpy",L!$A:$A,0)-1,SL,,)</f>
        <v>© 2020 Responsible Minerals Initiative. All rights reserved.</v>
      </c>
      <c r="B81" s="351"/>
      <c r="C81" s="351"/>
      <c r="D81" s="351"/>
      <c r="E81" s="351"/>
      <c r="F81" s="351"/>
      <c r="G81" s="351"/>
      <c r="H81" s="351"/>
      <c r="I81" s="351"/>
      <c r="J81" s="351"/>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0.9"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25">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5">
      <c r="A2" s="67" t="s">
        <v>494</v>
      </c>
      <c r="B2" s="68" t="str">
        <f>IF(F57=1,"Click here to return to Smelter List","")</f>
        <v>Click here to return to Smelter List</v>
      </c>
      <c r="C2" s="131" t="str">
        <f>IF(F56=1,"Click here to return to Product List","")</f>
        <v/>
      </c>
      <c r="D2" s="159">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Harwin plc</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Martin J Perry</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complianceteam@harwin.co.uk</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+44 (0)23 9231 4520</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Mark Plested</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complianceteam@harwin.co.uk</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+44 (0)23 9231 4520</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44026</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51">
      <c r="A20" s="91" t="str">
        <f ca="1">Declaration!B32</f>
        <v>Cobalt(*)</v>
      </c>
      <c r="B20" s="90" t="str">
        <f>Declaration!D32</f>
        <v>Unknown</v>
      </c>
      <c r="C20" s="162" t="str">
        <f t="shared" ca="1" si="3"/>
        <v>Complete</v>
      </c>
      <c r="D20" s="96" t="str">
        <f>IF(H20=1,"Click here to answer question 2 for Cobalt","")</f>
        <v/>
      </c>
      <c r="E20" s="74" t="s">
        <v>450</v>
      </c>
      <c r="F20" s="95">
        <f>IF(OR(B$15="No",B$15="Unknown"),0,1)</f>
        <v>1</v>
      </c>
      <c r="G20" s="71">
        <f t="shared" ref="G20:G55" si="5">IF(B20=0,1,0)</f>
        <v>0</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759</v>
      </c>
      <c r="F24" s="94"/>
      <c r="G24" s="19"/>
      <c r="H24" s="19"/>
      <c r="J24" s="158"/>
    </row>
    <row r="25" spans="1:10" ht="51">
      <c r="A25" s="91" t="str">
        <f ca="1">Declaration!B38</f>
        <v>Cobalt(*)</v>
      </c>
      <c r="B25" s="90" t="str">
        <f>Declaration!D38</f>
        <v>Unknown</v>
      </c>
      <c r="C25" s="162" t="str">
        <f ca="1">IF(H25=1,J25,I25)</f>
        <v>Complete</v>
      </c>
      <c r="D25" s="96" t="str">
        <f>IF(H25=1,"Click here to answer question 3 for Cobalt","")</f>
        <v/>
      </c>
      <c r="E25" s="74" t="s">
        <v>759</v>
      </c>
      <c r="F25" s="95">
        <f>F20</f>
        <v>1</v>
      </c>
      <c r="G25" s="71">
        <f>IF(B25=0,1,0)</f>
        <v>0</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t="str">
        <f>Declaration!D44</f>
        <v>None</v>
      </c>
      <c r="C30" s="162" t="str">
        <f t="shared" ca="1" si="3"/>
        <v>Complete</v>
      </c>
      <c r="D30" s="98" t="str">
        <f>IF(H30=1,"Click here to answer question 4 for Cobalt","")</f>
        <v/>
      </c>
      <c r="E30" s="74" t="s">
        <v>449</v>
      </c>
      <c r="F30" s="95">
        <f>F20</f>
        <v>1</v>
      </c>
      <c r="G30" s="71">
        <f t="shared" si="5"/>
        <v>0</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451</v>
      </c>
      <c r="F34" s="94"/>
      <c r="G34" s="19"/>
      <c r="H34" s="19"/>
    </row>
    <row r="35" spans="1:10" ht="51.75">
      <c r="A35" s="91" t="str">
        <f ca="1">Declaration!B50</f>
        <v>Cobalt(*)</v>
      </c>
      <c r="B35" s="90" t="str">
        <f>Declaration!D50</f>
        <v>No</v>
      </c>
      <c r="C35" s="162" t="str">
        <f t="shared" ca="1" si="3"/>
        <v>Complete</v>
      </c>
      <c r="D35" s="98" t="str">
        <f>IF(H35=1,"Click here to answer question 5 for Cobalt","")</f>
        <v/>
      </c>
      <c r="E35" s="74" t="s">
        <v>758</v>
      </c>
      <c r="F35" s="95">
        <f>F20</f>
        <v>1</v>
      </c>
      <c r="G35" s="71">
        <f t="shared" si="5"/>
        <v>0</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452</v>
      </c>
      <c r="F39" s="94"/>
      <c r="G39" s="19"/>
      <c r="H39" s="19"/>
    </row>
    <row r="40" spans="1:10" ht="39">
      <c r="A40" s="91" t="str">
        <f ca="1">Declaration!B56</f>
        <v>Cobalt(*)</v>
      </c>
      <c r="B40" s="90" t="str">
        <f>Declaration!D56</f>
        <v>Unknown</v>
      </c>
      <c r="C40" s="162" t="str">
        <f t="shared" ca="1" si="3"/>
        <v>Complete</v>
      </c>
      <c r="D40" s="98" t="str">
        <f>IF(H40=1,"Click here to answer question 6 for Cobalt","")</f>
        <v/>
      </c>
      <c r="E40" s="74" t="s">
        <v>450</v>
      </c>
      <c r="F40" s="95">
        <f>F20</f>
        <v>1</v>
      </c>
      <c r="G40" s="71">
        <f t="shared" si="5"/>
        <v>0</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1</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51">
      <c r="A47" s="90" t="str">
        <f ca="1">Declaration!B65</f>
        <v>B. Does your policy cover, at a minimum, all risks in the OECD Due Diligence Guidance Annex II Model Policy, as well as the worst forms of child labor? (*)</v>
      </c>
      <c r="B47" s="90" t="str">
        <f>Declaration!D65</f>
        <v>No</v>
      </c>
      <c r="C47" s="162" t="str">
        <f ca="1">IF(H47=1,J47,I47)</f>
        <v>Complete</v>
      </c>
      <c r="D47" s="269" t="str">
        <f>IF(H47=1,"Click here to answer question (B)","")</f>
        <v/>
      </c>
      <c r="E47" s="74" t="s">
        <v>759</v>
      </c>
      <c r="F47" s="95">
        <f t="shared" ref="F47:F55" si="7">F$45</f>
        <v>1</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No</v>
      </c>
      <c r="C48" s="162" t="str">
        <f t="shared" ca="1" si="3"/>
        <v>Complete</v>
      </c>
      <c r="D48" s="269" t="str">
        <f>IF(H48=1,"Click here to answer question (C)","")</f>
        <v/>
      </c>
      <c r="E48" s="74" t="s">
        <v>759</v>
      </c>
      <c r="F48" s="95">
        <f t="shared" si="7"/>
        <v>1</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162" t="str">
        <f t="shared" ca="1" si="3"/>
        <v>Complete</v>
      </c>
      <c r="D49" s="269" t="str">
        <f>IF(H49=1,"Click here to answer question (D)","")</f>
        <v/>
      </c>
      <c r="E49" s="74" t="s">
        <v>759</v>
      </c>
      <c r="F49" s="95">
        <f t="shared" si="7"/>
        <v>1</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2" t="str">
        <f t="shared" ca="1" si="3"/>
        <v>Complete</v>
      </c>
      <c r="D50" s="269" t="str">
        <f>IF(H50=1,"Click here to answer question (E)","")</f>
        <v/>
      </c>
      <c r="E50" s="74" t="s">
        <v>759</v>
      </c>
      <c r="F50" s="95">
        <f t="shared" si="7"/>
        <v>1</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No</v>
      </c>
      <c r="C51" s="162" t="str">
        <f t="shared" ca="1" si="3"/>
        <v>Complete</v>
      </c>
      <c r="D51" s="269" t="str">
        <f>IF(H51=1,"Click here to answer question (F)","")</f>
        <v/>
      </c>
      <c r="E51" s="74" t="s">
        <v>759</v>
      </c>
      <c r="F51" s="95">
        <f t="shared" si="7"/>
        <v>1</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No</v>
      </c>
      <c r="C53" s="162" t="str">
        <f t="shared" ca="1" si="3"/>
        <v>Complete</v>
      </c>
      <c r="D53" s="269" t="str">
        <f>IF(H53=1,"Click here to answer question (G)","")</f>
        <v/>
      </c>
      <c r="E53" s="74" t="s">
        <v>759</v>
      </c>
      <c r="F53" s="95">
        <f t="shared" si="7"/>
        <v>1</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162" t="str">
        <f t="shared" ca="1" si="3"/>
        <v>Complete</v>
      </c>
      <c r="D54" s="269" t="str">
        <f>IF(H54=1,"Click here to answer question (H)","")</f>
        <v/>
      </c>
      <c r="E54" s="74" t="s">
        <v>759</v>
      </c>
      <c r="F54" s="95">
        <f t="shared" si="7"/>
        <v>1</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No</v>
      </c>
      <c r="C55" s="162" t="str">
        <f t="shared" ca="1" si="3"/>
        <v>Complete</v>
      </c>
      <c r="D55" s="269" t="str">
        <f>IF(H55=1,"Click here to answer question (I)","")</f>
        <v/>
      </c>
      <c r="E55" s="74" t="s">
        <v>759</v>
      </c>
      <c r="F55" s="95">
        <f t="shared" si="7"/>
        <v>1</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 ca="1">IF(K57=1,L57,IF(B15="No","Not Required",IF(G57=0,I57,J57)))</f>
        <v>Provide list of cobalt refiners contributing material to supply chain on Smelter List tab</v>
      </c>
      <c r="D57" s="96" t="str">
        <f>IF(H57=0,"","Click here to provide smelter information")</f>
        <v/>
      </c>
      <c r="E57" s="74" t="s">
        <v>759</v>
      </c>
      <c r="F57" s="95">
        <f>F$45</f>
        <v>1</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1</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1</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1</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c r="A2" s="23"/>
      <c r="B2" s="128"/>
      <c r="C2" s="128"/>
      <c r="D2"/>
      <c r="E2" s="24"/>
    </row>
    <row r="3" spans="1:35">
      <c r="A3" s="23"/>
      <c r="B3" s="128"/>
      <c r="C3" s="128"/>
      <c r="D3" s="128"/>
      <c r="E3" s="24"/>
    </row>
    <row r="4" spans="1:35" ht="15.75" customHeight="1">
      <c r="A4" s="23"/>
      <c r="B4" s="417" t="s">
        <v>494</v>
      </c>
      <c r="C4" s="417"/>
      <c r="D4" s="41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56.7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99">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3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28.2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8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70.7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ht="28.5">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ht="28.5">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ht="28.5">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ht="28.5">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28.5">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56.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85.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Perry</cp:lastModifiedBy>
  <cp:lastPrinted>2015-04-21T20:47:43Z</cp:lastPrinted>
  <dcterms:created xsi:type="dcterms:W3CDTF">2010-06-21T21:00:23Z</dcterms:created>
  <dcterms:modified xsi:type="dcterms:W3CDTF">2020-07-14T10:41:24Z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